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stanleyc\Documents\CRL\"/>
    </mc:Choice>
  </mc:AlternateContent>
  <xr:revisionPtr revIDLastSave="0" documentId="8_{2E435A7F-E022-4F2F-A440-A900402702F7}" xr6:coauthVersionLast="47" xr6:coauthVersionMax="47" xr10:uidLastSave="{00000000-0000-0000-0000-000000000000}"/>
  <bookViews>
    <workbookView xWindow="-110" yWindow="-110" windowWidth="19420" windowHeight="11500" tabRatio="822" xr2:uid="{AAF21FBA-2091-43D7-9B74-B8CC42B64C4D}"/>
  </bookViews>
  <sheets>
    <sheet name="Formula A" sheetId="1" r:id="rId1"/>
    <sheet name="Formula A Tables" sheetId="2" r:id="rId2"/>
    <sheet name="Formula B" sheetId="7" r:id="rId3"/>
    <sheet name="Formula B Tables" sheetId="8" r:id="rId4"/>
    <sheet name="Formula C" sheetId="9" r:id="rId5"/>
    <sheet name="Formula C Tables" sheetId="10" r:id="rId6"/>
    <sheet name="Max &amp; Min Pell Flag Calculator" sheetId="15" r:id="rId7"/>
    <sheet name="Max &amp; Min Poverty Tables" sheetId="14" r:id="rId8"/>
    <sheet name="Pell Calculator" sheetId="12" r:id="rId9"/>
    <sheet name="Dropdown Menus" sheetId="11" state="hidden" r:id="rId10"/>
  </sheets>
  <definedNames>
    <definedName name="_xlnm.Print_Area" localSheetId="0">'Formula A'!$B$2:$AI$129</definedName>
    <definedName name="_xlnm.Print_Area" localSheetId="2">'Formula B'!$B$2:$AJ$72</definedName>
    <definedName name="_xlnm.Print_Area" localSheetId="4">'Formula C'!$B$2:$AJ$76</definedName>
    <definedName name="_xlnm.Print_Area" localSheetId="6">'Max &amp; Min Pell Flag Calculator'!$A$1:$AS$13</definedName>
    <definedName name="_xlnm.Print_Area" localSheetId="8">'Pell Calculator'!$A$1:$BI$43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2" l="1"/>
  <c r="O3" i="15"/>
  <c r="BI72" i="14"/>
  <c r="BI71" i="14"/>
  <c r="BI70" i="14"/>
  <c r="BI69" i="14"/>
  <c r="BI68" i="14"/>
  <c r="BI67" i="14"/>
  <c r="BI66" i="14"/>
  <c r="BI65" i="14"/>
  <c r="BN65" i="14" s="1"/>
  <c r="BI57" i="14"/>
  <c r="BI56" i="14"/>
  <c r="BI55" i="14"/>
  <c r="BI54" i="14"/>
  <c r="BI53" i="14"/>
  <c r="BI52" i="14"/>
  <c r="BI51" i="14"/>
  <c r="BN51" i="14" s="1"/>
  <c r="BI43" i="14"/>
  <c r="BI42" i="14"/>
  <c r="BI41" i="14"/>
  <c r="BI40" i="14"/>
  <c r="BN40" i="14" s="1"/>
  <c r="BI39" i="14"/>
  <c r="BI38" i="14"/>
  <c r="BI37" i="14"/>
  <c r="BN37" i="14" s="1"/>
  <c r="BI27" i="14"/>
  <c r="BI26" i="14"/>
  <c r="BI25" i="14"/>
  <c r="BI24" i="14"/>
  <c r="BI23" i="14"/>
  <c r="BI22" i="14"/>
  <c r="BI21" i="14"/>
  <c r="G72" i="14"/>
  <c r="G71" i="14"/>
  <c r="G70" i="14"/>
  <c r="G69" i="14"/>
  <c r="G68" i="14"/>
  <c r="L68" i="14" s="1"/>
  <c r="G67" i="14"/>
  <c r="L67" i="14" s="1"/>
  <c r="G66" i="14"/>
  <c r="L66" i="14" s="1"/>
  <c r="G65" i="14"/>
  <c r="L65" i="14" s="1"/>
  <c r="G57" i="14"/>
  <c r="G56" i="14"/>
  <c r="G55" i="14"/>
  <c r="G54" i="14"/>
  <c r="G53" i="14"/>
  <c r="G52" i="14"/>
  <c r="G51" i="14"/>
  <c r="T51" i="14" s="1"/>
  <c r="G43" i="14"/>
  <c r="G42" i="14"/>
  <c r="G41" i="14"/>
  <c r="G40" i="14"/>
  <c r="G39" i="14"/>
  <c r="G38" i="14"/>
  <c r="L38" i="14" s="1"/>
  <c r="G37" i="14"/>
  <c r="T37" i="14" s="1"/>
  <c r="G27" i="14"/>
  <c r="G26" i="14"/>
  <c r="G25" i="14"/>
  <c r="G24" i="14"/>
  <c r="G23" i="14"/>
  <c r="T23" i="14" s="1"/>
  <c r="G22" i="14"/>
  <c r="T22" i="14" s="1"/>
  <c r="G21" i="14"/>
  <c r="T21" i="14" s="1"/>
  <c r="AH72" i="14"/>
  <c r="AM72" i="14" s="1"/>
  <c r="AH71" i="14"/>
  <c r="AU71" i="14" s="1"/>
  <c r="AH70" i="14"/>
  <c r="AH69" i="14"/>
  <c r="AM69" i="14" s="1"/>
  <c r="AH68" i="14"/>
  <c r="AU68" i="14" s="1"/>
  <c r="AH67" i="14"/>
  <c r="AH66" i="14"/>
  <c r="AH65" i="14"/>
  <c r="AU65" i="14" s="1"/>
  <c r="AH57" i="14"/>
  <c r="AM57" i="14" s="1"/>
  <c r="AH56" i="14"/>
  <c r="AM56" i="14" s="1"/>
  <c r="AH55" i="14"/>
  <c r="AH54" i="14"/>
  <c r="AH53" i="14"/>
  <c r="AH52" i="14"/>
  <c r="AH51" i="14"/>
  <c r="AH43" i="14"/>
  <c r="AM43" i="14" s="1"/>
  <c r="AH42" i="14"/>
  <c r="AM42" i="14" s="1"/>
  <c r="AH41" i="14"/>
  <c r="AH40" i="14"/>
  <c r="AH39" i="14"/>
  <c r="AH38" i="14"/>
  <c r="AM38" i="14" s="1"/>
  <c r="AH37" i="14"/>
  <c r="AM37" i="14"/>
  <c r="AM39" i="14"/>
  <c r="AM40" i="14"/>
  <c r="AM41" i="14"/>
  <c r="AH27" i="14"/>
  <c r="AH26" i="14"/>
  <c r="AH25" i="14"/>
  <c r="AH24" i="14"/>
  <c r="AH23" i="14"/>
  <c r="AH22" i="14"/>
  <c r="AH21" i="14"/>
  <c r="AU21" i="14" s="1"/>
  <c r="AA3" i="15"/>
  <c r="U3" i="15"/>
  <c r="C14" i="14"/>
  <c r="G28" i="14" s="1"/>
  <c r="BV72" i="14"/>
  <c r="BN72" i="14"/>
  <c r="BV71" i="14"/>
  <c r="BN71" i="14"/>
  <c r="BV70" i="14"/>
  <c r="BN70" i="14"/>
  <c r="BV69" i="14"/>
  <c r="BN69" i="14"/>
  <c r="BV68" i="14"/>
  <c r="BN68" i="14"/>
  <c r="BV67" i="14"/>
  <c r="BN67" i="14"/>
  <c r="BV66" i="14"/>
  <c r="BN66" i="14"/>
  <c r="BV65" i="14"/>
  <c r="BV52" i="14"/>
  <c r="BV53" i="14"/>
  <c r="BV54" i="14"/>
  <c r="BV55" i="14"/>
  <c r="BV56" i="14"/>
  <c r="BV57" i="14"/>
  <c r="BV51" i="14"/>
  <c r="BV38" i="14"/>
  <c r="BV39" i="14"/>
  <c r="BV40" i="14"/>
  <c r="BV41" i="14"/>
  <c r="BV42" i="14"/>
  <c r="BV43" i="14"/>
  <c r="BV37" i="14"/>
  <c r="AU72" i="14"/>
  <c r="AM71" i="14"/>
  <c r="AU70" i="14"/>
  <c r="AM70" i="14"/>
  <c r="AU67" i="14"/>
  <c r="AM67" i="14"/>
  <c r="AU66" i="14"/>
  <c r="AM66" i="14"/>
  <c r="AU52" i="14"/>
  <c r="AU53" i="14"/>
  <c r="AU54" i="14"/>
  <c r="AU55" i="14"/>
  <c r="AU56" i="14"/>
  <c r="AU57" i="14"/>
  <c r="AU51" i="14"/>
  <c r="AU38" i="14"/>
  <c r="AU39" i="14"/>
  <c r="AU40" i="14"/>
  <c r="AU41" i="14"/>
  <c r="AU42" i="14"/>
  <c r="AU43" i="14"/>
  <c r="AU37" i="14"/>
  <c r="T67" i="14"/>
  <c r="T69" i="14"/>
  <c r="T70" i="14"/>
  <c r="T71" i="14"/>
  <c r="T72" i="14"/>
  <c r="L72" i="14"/>
  <c r="L71" i="14"/>
  <c r="L70" i="14"/>
  <c r="L69" i="14"/>
  <c r="T52" i="14"/>
  <c r="T53" i="14"/>
  <c r="T54" i="14"/>
  <c r="T55" i="14"/>
  <c r="T56" i="14"/>
  <c r="T57" i="14"/>
  <c r="T38" i="14"/>
  <c r="T39" i="14"/>
  <c r="T40" i="14"/>
  <c r="T41" i="14"/>
  <c r="T42" i="14"/>
  <c r="T43" i="14"/>
  <c r="BN57" i="14"/>
  <c r="L57" i="14"/>
  <c r="BN56" i="14"/>
  <c r="L56" i="14"/>
  <c r="BN55" i="14"/>
  <c r="AM55" i="14"/>
  <c r="L55" i="14"/>
  <c r="BN54" i="14"/>
  <c r="AM54" i="14"/>
  <c r="L54" i="14"/>
  <c r="BN53" i="14"/>
  <c r="AM53" i="14"/>
  <c r="L53" i="14"/>
  <c r="BN52" i="14"/>
  <c r="AM52" i="14"/>
  <c r="L52" i="14"/>
  <c r="AM51" i="14"/>
  <c r="BN43" i="14"/>
  <c r="L43" i="14"/>
  <c r="BN42" i="14"/>
  <c r="L42" i="14"/>
  <c r="BN41" i="14"/>
  <c r="L41" i="14"/>
  <c r="L40" i="14"/>
  <c r="BN39" i="14"/>
  <c r="L39" i="14"/>
  <c r="BN38" i="14"/>
  <c r="BV27" i="14"/>
  <c r="BN27" i="14"/>
  <c r="BV26" i="14"/>
  <c r="BN26" i="14"/>
  <c r="BV25" i="14"/>
  <c r="BN25" i="14"/>
  <c r="BV24" i="14"/>
  <c r="BN24" i="14"/>
  <c r="BV23" i="14"/>
  <c r="BN23" i="14"/>
  <c r="BV22" i="14"/>
  <c r="BN22" i="14"/>
  <c r="BV21" i="14"/>
  <c r="BN21" i="14"/>
  <c r="BV13" i="14"/>
  <c r="BN13" i="14"/>
  <c r="BV12" i="14"/>
  <c r="BN12" i="14"/>
  <c r="BV11" i="14"/>
  <c r="BN11" i="14"/>
  <c r="BV10" i="14"/>
  <c r="BN10" i="14"/>
  <c r="BV9" i="14"/>
  <c r="BN9" i="14"/>
  <c r="BV8" i="14"/>
  <c r="BN8" i="14"/>
  <c r="BV7" i="14"/>
  <c r="BN7" i="14"/>
  <c r="AU27" i="14"/>
  <c r="AM27" i="14"/>
  <c r="AU26" i="14"/>
  <c r="AM26" i="14"/>
  <c r="AU25" i="14"/>
  <c r="AM25" i="14"/>
  <c r="AU24" i="14"/>
  <c r="AM24" i="14"/>
  <c r="AU23" i="14"/>
  <c r="AM23" i="14"/>
  <c r="AU22" i="14"/>
  <c r="AM22" i="14"/>
  <c r="AU13" i="14"/>
  <c r="AM13" i="14"/>
  <c r="AU12" i="14"/>
  <c r="AM12" i="14"/>
  <c r="AU11" i="14"/>
  <c r="AM11" i="14"/>
  <c r="AU10" i="14"/>
  <c r="AM10" i="14"/>
  <c r="AU9" i="14"/>
  <c r="AM9" i="14"/>
  <c r="AU8" i="14"/>
  <c r="AM8" i="14"/>
  <c r="AU7" i="14"/>
  <c r="AM7" i="14"/>
  <c r="T24" i="14"/>
  <c r="T25" i="14"/>
  <c r="T26" i="14"/>
  <c r="T27" i="14"/>
  <c r="L22" i="14"/>
  <c r="L23" i="14"/>
  <c r="L24" i="14"/>
  <c r="L25" i="14"/>
  <c r="L26" i="14"/>
  <c r="L27" i="14"/>
  <c r="L7" i="14"/>
  <c r="T7" i="14"/>
  <c r="L8" i="14"/>
  <c r="T8" i="14"/>
  <c r="L9" i="14"/>
  <c r="T9" i="14"/>
  <c r="L10" i="14"/>
  <c r="T10" i="14"/>
  <c r="L11" i="14"/>
  <c r="T11" i="14"/>
  <c r="L12" i="14"/>
  <c r="T12" i="14"/>
  <c r="L13" i="14"/>
  <c r="T13" i="14"/>
  <c r="B19" i="12"/>
  <c r="B18" i="12"/>
  <c r="B17" i="12"/>
  <c r="AJ33" i="9"/>
  <c r="AJ33" i="7"/>
  <c r="AI32" i="1"/>
  <c r="AJ29" i="9"/>
  <c r="AJ28" i="9"/>
  <c r="AJ29" i="7"/>
  <c r="AJ28" i="7"/>
  <c r="AI29" i="1"/>
  <c r="AI28" i="1"/>
  <c r="AI92" i="1"/>
  <c r="AI91" i="1"/>
  <c r="AJ55" i="9"/>
  <c r="AJ57" i="9" s="1"/>
  <c r="AJ59" i="9" s="1"/>
  <c r="AJ62" i="9" s="1"/>
  <c r="AJ69" i="9" s="1"/>
  <c r="AJ30" i="9"/>
  <c r="AJ21" i="9"/>
  <c r="AJ16" i="9"/>
  <c r="AI115" i="1"/>
  <c r="AI117" i="1" s="1"/>
  <c r="AI119" i="1" s="1"/>
  <c r="AI126" i="1" s="1"/>
  <c r="AI84" i="1"/>
  <c r="AI79" i="1"/>
  <c r="AI30" i="1"/>
  <c r="AI21" i="1"/>
  <c r="AI16" i="1"/>
  <c r="AJ57" i="7"/>
  <c r="AJ59" i="7" s="1"/>
  <c r="AJ62" i="7" s="1"/>
  <c r="AJ69" i="7" s="1"/>
  <c r="AJ55" i="7"/>
  <c r="AJ30" i="7"/>
  <c r="AJ21" i="7"/>
  <c r="AJ16" i="7"/>
  <c r="B51" i="10"/>
  <c r="Q51" i="10" s="1"/>
  <c r="B41" i="10"/>
  <c r="Q60" i="10"/>
  <c r="Q59" i="10"/>
  <c r="Q58" i="10"/>
  <c r="Q57" i="10"/>
  <c r="Q41" i="8"/>
  <c r="Q40" i="8"/>
  <c r="Q39" i="8"/>
  <c r="Q38" i="8"/>
  <c r="Q65" i="2"/>
  <c r="Q64" i="2"/>
  <c r="Q63" i="2"/>
  <c r="Q62" i="2"/>
  <c r="Q53" i="2"/>
  <c r="AI51" i="1" s="1"/>
  <c r="AI53" i="1" s="1"/>
  <c r="AI56" i="1" s="1"/>
  <c r="AI63" i="1" s="1"/>
  <c r="Q54" i="2"/>
  <c r="Q56" i="2"/>
  <c r="Q55" i="2"/>
  <c r="B47" i="2"/>
  <c r="Q47" i="2" s="1"/>
  <c r="AI85" i="1" l="1"/>
  <c r="AI99" i="1" s="1"/>
  <c r="AI22" i="1"/>
  <c r="AI38" i="1" s="1"/>
  <c r="G58" i="14"/>
  <c r="T58" i="14" s="1"/>
  <c r="G44" i="14"/>
  <c r="T44" i="14" s="1"/>
  <c r="G73" i="14"/>
  <c r="L73" i="14" s="1"/>
  <c r="G14" i="14"/>
  <c r="L14" i="14" s="1"/>
  <c r="L21" i="14"/>
  <c r="L51" i="14"/>
  <c r="T65" i="14"/>
  <c r="T66" i="14"/>
  <c r="T68" i="14"/>
  <c r="L37" i="14"/>
  <c r="AU69" i="14"/>
  <c r="AM68" i="14"/>
  <c r="AM65" i="14"/>
  <c r="AM21" i="14"/>
  <c r="AD28" i="14"/>
  <c r="BE28" i="14"/>
  <c r="C44" i="14"/>
  <c r="AD44" i="14"/>
  <c r="BE44" i="14"/>
  <c r="C58" i="14"/>
  <c r="AD58" i="14"/>
  <c r="BE58" i="14"/>
  <c r="C73" i="14"/>
  <c r="AD73" i="14"/>
  <c r="BE73" i="14"/>
  <c r="L28" i="14"/>
  <c r="C28" i="14"/>
  <c r="AD14" i="14"/>
  <c r="BE14" i="14"/>
  <c r="AI36" i="1"/>
  <c r="AJ22" i="9"/>
  <c r="AJ42" i="9" s="1"/>
  <c r="AJ22" i="7"/>
  <c r="AJ40" i="7" s="1"/>
  <c r="Q41" i="10"/>
  <c r="T28" i="14" l="1"/>
  <c r="J11" i="15"/>
  <c r="Z11" i="15" s="1"/>
  <c r="B11" i="15"/>
  <c r="R11" i="15" s="1"/>
  <c r="AI40" i="1"/>
  <c r="AI62" i="1" s="1"/>
  <c r="T14" i="14"/>
  <c r="AH73" i="14"/>
  <c r="AM73" i="14" s="1"/>
  <c r="AH28" i="14"/>
  <c r="AU28" i="14" s="1"/>
  <c r="AH58" i="14"/>
  <c r="AU58" i="14" s="1"/>
  <c r="AH44" i="14"/>
  <c r="AU44" i="14" s="1"/>
  <c r="AH14" i="14"/>
  <c r="AU14" i="14" s="1"/>
  <c r="BI14" i="14"/>
  <c r="BV14" i="14" s="1"/>
  <c r="BI73" i="14"/>
  <c r="BV73" i="14" s="1"/>
  <c r="BI44" i="14"/>
  <c r="BN44" i="14" s="1"/>
  <c r="BI58" i="14"/>
  <c r="BN58" i="14" s="1"/>
  <c r="BI28" i="14"/>
  <c r="BV28" i="14" s="1"/>
  <c r="T73" i="14"/>
  <c r="L44" i="14"/>
  <c r="L58" i="14"/>
  <c r="AI39" i="1"/>
  <c r="AJ40" i="9"/>
  <c r="AJ44" i="9" s="1"/>
  <c r="AJ70" i="9" s="1"/>
  <c r="AJ38" i="7"/>
  <c r="AJ41" i="7" s="1"/>
  <c r="AM28" i="14" l="1"/>
  <c r="AU73" i="14"/>
  <c r="AI64" i="1"/>
  <c r="AI94" i="1" s="1"/>
  <c r="AI97" i="1" s="1"/>
  <c r="AI100" i="1" s="1"/>
  <c r="BN73" i="14"/>
  <c r="AM14" i="14"/>
  <c r="BN14" i="14"/>
  <c r="BV44" i="14"/>
  <c r="BN28" i="14"/>
  <c r="AM58" i="14"/>
  <c r="BV58" i="14"/>
  <c r="AM44" i="14"/>
  <c r="AJ67" i="9"/>
  <c r="AJ43" i="9"/>
  <c r="AJ42" i="7"/>
  <c r="AJ45" i="7" s="1"/>
  <c r="AJ67" i="7" s="1"/>
  <c r="AI101" i="1" l="1"/>
  <c r="AI104" i="1" s="1"/>
  <c r="AI125" i="1" s="1"/>
  <c r="AJ70" i="7"/>
  <c r="Q93" i="10"/>
  <c r="Q102" i="2"/>
  <c r="Q103" i="2"/>
  <c r="Q104" i="2"/>
  <c r="Q101" i="2"/>
  <c r="Q105" i="2"/>
  <c r="Q106" i="2"/>
  <c r="AI67" i="1" l="1"/>
  <c r="AI124" i="1" s="1"/>
  <c r="Q94" i="10"/>
  <c r="Q97" i="10"/>
  <c r="Q96" i="10"/>
  <c r="Q98" i="10"/>
  <c r="AJ72" i="9" s="1"/>
  <c r="AJ73" i="9" s="1"/>
  <c r="Q95" i="10"/>
  <c r="AI127" i="1" l="1"/>
  <c r="M11" i="12" s="1"/>
  <c r="AA11" i="12" l="1"/>
  <c r="AH11" i="12" s="1"/>
  <c r="L19" i="12" l="1"/>
  <c r="L17" i="12"/>
  <c r="T17" i="12" s="1"/>
  <c r="L18" i="12"/>
  <c r="T18" i="12" s="1"/>
  <c r="AJ18" i="12" s="1"/>
  <c r="L42" i="12" l="1"/>
  <c r="T42" i="12" s="1"/>
  <c r="L26" i="12"/>
  <c r="T26" i="12" s="1"/>
  <c r="L38" i="12"/>
  <c r="T38" i="12" s="1"/>
  <c r="L41" i="12"/>
  <c r="T41" i="12" s="1"/>
  <c r="AJ41" i="12" s="1"/>
  <c r="L25" i="12"/>
  <c r="T25" i="12" s="1"/>
  <c r="AJ25" i="12" s="1"/>
  <c r="T24" i="12"/>
  <c r="L23" i="12"/>
  <c r="T23" i="12" s="1"/>
  <c r="L22" i="12"/>
  <c r="T22" i="12" s="1"/>
  <c r="L30" i="12"/>
  <c r="T30" i="12" s="1"/>
  <c r="L28" i="12"/>
  <c r="T28" i="12" s="1"/>
  <c r="L40" i="12"/>
  <c r="T40" i="12" s="1"/>
  <c r="L39" i="12"/>
  <c r="T39" i="12" s="1"/>
  <c r="T19" i="12"/>
  <c r="AB19" i="12" s="1"/>
  <c r="L37" i="12"/>
  <c r="T37" i="12" s="1"/>
  <c r="L21" i="12"/>
  <c r="T21" i="12" s="1"/>
  <c r="L33" i="12"/>
  <c r="T33" i="12" s="1"/>
  <c r="L32" i="12"/>
  <c r="T32" i="12" s="1"/>
  <c r="L36" i="12"/>
  <c r="T36" i="12" s="1"/>
  <c r="L20" i="12"/>
  <c r="T20" i="12" s="1"/>
  <c r="L31" i="12"/>
  <c r="T31" i="12" s="1"/>
  <c r="L35" i="12"/>
  <c r="T35" i="12" s="1"/>
  <c r="L34" i="12"/>
  <c r="T34" i="12" s="1"/>
  <c r="L29" i="12"/>
  <c r="T29" i="12" s="1"/>
  <c r="L27" i="12"/>
  <c r="T27" i="12" s="1"/>
  <c r="AJ17" i="12"/>
  <c r="AB18" i="12"/>
  <c r="AB17" i="12"/>
  <c r="AJ28" i="12" l="1"/>
  <c r="AJ34" i="12"/>
  <c r="AJ30" i="12"/>
  <c r="BC11" i="12" s="1"/>
  <c r="AJ22" i="12"/>
  <c r="AJ20" i="12"/>
  <c r="AJ35" i="12"/>
  <c r="AJ36" i="12"/>
  <c r="AJ24" i="12"/>
  <c r="AJ23" i="12"/>
  <c r="AJ33" i="12"/>
  <c r="AB38" i="12"/>
  <c r="AJ40" i="12"/>
  <c r="AJ21" i="12"/>
  <c r="AJ37" i="12"/>
  <c r="AJ42" i="12"/>
  <c r="AJ26" i="12"/>
  <c r="AJ32" i="12"/>
  <c r="AJ39" i="12"/>
  <c r="AJ27" i="12"/>
  <c r="AJ29" i="12"/>
  <c r="AB41" i="12"/>
  <c r="AJ19" i="12"/>
  <c r="AB25" i="12"/>
  <c r="AJ31" i="12"/>
  <c r="AB30" i="12" l="1"/>
  <c r="AB28" i="12"/>
  <c r="AB29" i="12"/>
  <c r="AB24" i="12"/>
  <c r="AB27" i="12"/>
  <c r="AB42" i="12"/>
  <c r="AB39" i="12"/>
  <c r="AB40" i="12"/>
  <c r="AB37" i="12"/>
  <c r="AB35" i="12"/>
  <c r="AB22" i="12"/>
  <c r="AB34" i="12"/>
  <c r="AB26" i="12"/>
  <c r="AV11" i="12" s="1"/>
  <c r="AB36" i="12"/>
  <c r="AB21" i="12"/>
  <c r="AB20" i="12"/>
  <c r="AO11" i="12"/>
  <c r="AJ38" i="12"/>
  <c r="AB33" i="12"/>
  <c r="AB32" i="12"/>
  <c r="AB23" i="12"/>
  <c r="AB31" i="12"/>
</calcChain>
</file>

<file path=xl/sharedStrings.xml><?xml version="1.0" encoding="utf-8"?>
<sst xmlns="http://schemas.openxmlformats.org/spreadsheetml/2006/main" count="988" uniqueCount="450">
  <si>
    <t>SAI = Parents' Contribution + Student's Contribution from Income + Student's Contribution from Assets</t>
  </si>
  <si>
    <t>Parent Contribution from Income</t>
  </si>
  <si>
    <t>Parent Income Additions</t>
  </si>
  <si>
    <t>a.</t>
  </si>
  <si>
    <t>b.</t>
  </si>
  <si>
    <t>c.</t>
  </si>
  <si>
    <t>d.</t>
  </si>
  <si>
    <t>e.</t>
  </si>
  <si>
    <t>f.</t>
  </si>
  <si>
    <t>1.</t>
  </si>
  <si>
    <t>Parent Income Offsets</t>
  </si>
  <si>
    <t>g.</t>
  </si>
  <si>
    <t>h.</t>
  </si>
  <si>
    <t>i.</t>
  </si>
  <si>
    <t>2.</t>
  </si>
  <si>
    <t>3.</t>
  </si>
  <si>
    <t>·</t>
  </si>
  <si>
    <t>Allowances Against Parent's Income</t>
  </si>
  <si>
    <t>4.</t>
  </si>
  <si>
    <t>5.</t>
  </si>
  <si>
    <t>6.</t>
  </si>
  <si>
    <t>7.</t>
  </si>
  <si>
    <t>8.</t>
  </si>
  <si>
    <t>Parents' Available Income (PAI)</t>
  </si>
  <si>
    <t>Total Parent Income (Line 3)</t>
  </si>
  <si>
    <t>Total Parent Allowances Against Income (line 8)</t>
  </si>
  <si>
    <t>9.</t>
  </si>
  <si>
    <t>Parent Contribution from Assets</t>
  </si>
  <si>
    <t>10.</t>
  </si>
  <si>
    <t>11.</t>
  </si>
  <si>
    <t>12.</t>
  </si>
  <si>
    <t>13.</t>
  </si>
  <si>
    <t>14.</t>
  </si>
  <si>
    <t>15.</t>
  </si>
  <si>
    <t>16.</t>
  </si>
  <si>
    <t>17.</t>
  </si>
  <si>
    <t>Total Parent Contribution</t>
  </si>
  <si>
    <t>Parent Adjusted Available Income (PAAI)</t>
  </si>
  <si>
    <t>Parents' Available Income (Line 9)</t>
  </si>
  <si>
    <t>Parents' Contribution from Assets (Line 17)</t>
  </si>
  <si>
    <t>18.</t>
  </si>
  <si>
    <t>Parents' Contribution</t>
  </si>
  <si>
    <t>19.</t>
  </si>
  <si>
    <t>Student Contribution from Income</t>
  </si>
  <si>
    <t>Student Income Additions</t>
  </si>
  <si>
    <t>20.</t>
  </si>
  <si>
    <t>Student Income Offsets</t>
  </si>
  <si>
    <t>21.</t>
  </si>
  <si>
    <t>22.</t>
  </si>
  <si>
    <t>Allowances Against Student Income</t>
  </si>
  <si>
    <t>23.</t>
  </si>
  <si>
    <t>24.</t>
  </si>
  <si>
    <t>25.</t>
  </si>
  <si>
    <t>26.</t>
  </si>
  <si>
    <t>27.</t>
  </si>
  <si>
    <t>Student's Contribution from Income</t>
  </si>
  <si>
    <t>Total Student Income (Line 22)</t>
  </si>
  <si>
    <t>Total Student Allowances Against Income (Line 27)</t>
  </si>
  <si>
    <t>28.</t>
  </si>
  <si>
    <t>29.</t>
  </si>
  <si>
    <t>30.</t>
  </si>
  <si>
    <t>Student Contribution from Assets</t>
  </si>
  <si>
    <t>31.</t>
  </si>
  <si>
    <t>32.</t>
  </si>
  <si>
    <t>33.</t>
  </si>
  <si>
    <t>34.</t>
  </si>
  <si>
    <t>Student Aid Index (SAI)</t>
  </si>
  <si>
    <t>Parents' Contribution (Line 19)</t>
  </si>
  <si>
    <t>Student's Contribution from Income (Line 30)</t>
  </si>
  <si>
    <t>Student's Contribution from Assets (Line 36)</t>
  </si>
  <si>
    <t>Parents' AGI</t>
  </si>
  <si>
    <t>Parents' Deductible Payments to IRA/KEOGH/Other</t>
  </si>
  <si>
    <t>Parents' Tax-Exempt Interest Income</t>
  </si>
  <si>
    <t>Parents' Untaxed Portions of IRA Distributions (Excluding rollovers; if less than zero, enter zero)</t>
  </si>
  <si>
    <t>Parents' Untaxed Portions of Pensions (Excluding rollovers; if less than zero, enter zero)</t>
  </si>
  <si>
    <t>Parents' Foreign Income Exclusion (reported on US Tax Return; if less than zero, enter the absolute value)</t>
  </si>
  <si>
    <t>Total Parent Income Additions (Sum of lines a, b, c, d, e, and f)</t>
  </si>
  <si>
    <t>Parents' Education Credits</t>
  </si>
  <si>
    <t>Parents' Federal Work-study (FWS)</t>
  </si>
  <si>
    <t>Total Parent Income Offsets (Sum of lines g, h, and i)</t>
  </si>
  <si>
    <t>Total Parent Income (line 1 minus line 2)</t>
  </si>
  <si>
    <t>Total Parent Income Additions - Total Parent Income Offsets</t>
  </si>
  <si>
    <t>May be a negative number</t>
  </si>
  <si>
    <t>Parents' US Income Tax Paid (or Foreign Equivalent)</t>
  </si>
  <si>
    <t>Payroll Tax Allowance (Table A1)</t>
  </si>
  <si>
    <t>Medicare's Hospital Insurance (HI) Program Tax Rate (Table A1: Step 1)</t>
  </si>
  <si>
    <t>Old-age, survivors, &amp; disability insurance (OASDI) Tax Rate (Table A1: Step 2)</t>
  </si>
  <si>
    <t>Income Protection Allowance (Table A2)</t>
  </si>
  <si>
    <t>Use the calculated Family Size to determine the IPA</t>
  </si>
  <si>
    <t>Employment Expense Allowance (EEA)</t>
  </si>
  <si>
    <t>The lesser of:</t>
  </si>
  <si>
    <t>35% of parents' combined income, OR</t>
  </si>
  <si>
    <t>$4,730</t>
  </si>
  <si>
    <t>Total Parent Allowances Against Income (sum lines 4, 5a, 5b, 6, and 7)</t>
  </si>
  <si>
    <t>Parent Available Income (Line 3 minus line 8)</t>
  </si>
  <si>
    <t>Annual child support received for the last complete calendar year</t>
  </si>
  <si>
    <t>Cash, Savings, and checking accounts</t>
  </si>
  <si>
    <t>Net worth of investments</t>
  </si>
  <si>
    <t>Includes: time deposits, money market funds, real estate (excluding primary residence), vacation homes, income producing property, trusts, stocks, bonds, derivatives, securities, mutual funds, tax shelters, and qualified education benefits</t>
  </si>
  <si>
    <t>If negative, enter zero</t>
  </si>
  <si>
    <t>Net worth (Sum of lines 10, 11, 12, and 13)</t>
  </si>
  <si>
    <t>Asset Conversion Rate (12%)</t>
  </si>
  <si>
    <t>Parent Contribution from Assets (PCA)</t>
  </si>
  <si>
    <t>(Line 14 minus Line 15) times Line 16</t>
  </si>
  <si>
    <t>Parent Adjusted Available Income (Line 9 plus Line 17)</t>
  </si>
  <si>
    <t>Parents' Contribution (Table A5)</t>
  </si>
  <si>
    <t>Adjust PAAI (line 18) using Table A5</t>
  </si>
  <si>
    <t>Student AGI</t>
  </si>
  <si>
    <t>Student Deductible Payments to IRA/KEOGH/Other</t>
  </si>
  <si>
    <t>Student Tax-Exempt Interest Income</t>
  </si>
  <si>
    <t>Student Untaxed Portions of IRA Distributions (Excluding rollovers; If less than zero, enter zero)</t>
  </si>
  <si>
    <t>Student Untaxed Portions of Penstions (Excluding rollovers, if less than zero, enter zero)</t>
  </si>
  <si>
    <t>Student Foreign Income Exclusion (reported on US Tax Return; if less than zero, enter the absolute value)</t>
  </si>
  <si>
    <t>Total Student Income Additions (sum of lines a, b, c, d, e, and f)</t>
  </si>
  <si>
    <t>Student College Grant and Scholarship Aid (reported as income)</t>
  </si>
  <si>
    <t>Student Education Credits</t>
  </si>
  <si>
    <t>Student Federal Work-study (FWS)</t>
  </si>
  <si>
    <t>Total Student Income Offsets (sum of lines g, h, and i)</t>
  </si>
  <si>
    <t>Total Student Income (line 20 minus line 21)</t>
  </si>
  <si>
    <t>Total Student Income Additions - Total Student Income Offsets</t>
  </si>
  <si>
    <t>Student US Income Tax Paid (or Foreign Equivalent)</t>
  </si>
  <si>
    <t>Income Protection Allowance</t>
  </si>
  <si>
    <t>Allowance for parents' negative adjusted available income</t>
  </si>
  <si>
    <t>If line 18 is negative, enter line 18 as a positive number</t>
  </si>
  <si>
    <t>If line 18 is zero or positive, enter zero</t>
  </si>
  <si>
    <t>Total Student Allowances Against Income (sum lines 23, 24a, 24b, 25, and 26)</t>
  </si>
  <si>
    <t>Student Available Income (line 22 minus line 27)</t>
  </si>
  <si>
    <t>Assessment of Student Available Income</t>
  </si>
  <si>
    <t>Student's Contribution from Income (line 28 times line 29)</t>
  </si>
  <si>
    <t>Cash, Savings, and Checking Accounts</t>
  </si>
  <si>
    <t>Net worth (sum of lines 31, 32, and 33)</t>
  </si>
  <si>
    <t>Student Contributions from Assets (SCA)</t>
  </si>
  <si>
    <t>Line 34 times line 35</t>
  </si>
  <si>
    <t>If negative and &lt; -1500, adjust to -1500 (e.g., if -2000, set to -1500)</t>
  </si>
  <si>
    <t>It negative and ≤ -1500, do not adjust (e.g., if -1000, leave as -1000)</t>
  </si>
  <si>
    <t>+</t>
  </si>
  <si>
    <t>=</t>
  </si>
  <si>
    <t>-</t>
  </si>
  <si>
    <t>x</t>
  </si>
  <si>
    <t>Family Size:</t>
  </si>
  <si>
    <t>Family Size (including student)</t>
  </si>
  <si>
    <t>Table A5: Parents't Contribution form Adjusted Available Income</t>
  </si>
  <si>
    <t>If the parents' AAI is ____</t>
  </si>
  <si>
    <t>Then the parents' contribution from AAI is ____</t>
  </si>
  <si>
    <t>If the net worth of a business or farm is ____</t>
  </si>
  <si>
    <t>Then the adjusted net worth is ____</t>
  </si>
  <si>
    <t>Bus/Farm Net Worth</t>
  </si>
  <si>
    <t>Formula A: Dependent Students</t>
  </si>
  <si>
    <t>Table A1: Payroll Tax Allowance</t>
  </si>
  <si>
    <t>Tax Rate Program</t>
  </si>
  <si>
    <t>Tax Rate</t>
  </si>
  <si>
    <t>Step 1: Medicare's Hospital Insurance (HI) Program Tax</t>
  </si>
  <si>
    <t>If Parent filed as Single, HoH or Qualifying Surviving Spouse:</t>
  </si>
  <si>
    <t>If Parent file as Married-Filed Joint Return (MFJ):</t>
  </si>
  <si>
    <t>1.45% of parent income earned from work up to $200,000, (+) plus</t>
  </si>
  <si>
    <t>2.35% of parent income earned from work over $200,000</t>
  </si>
  <si>
    <t>If Dependent Student:</t>
  </si>
  <si>
    <t>If parent filed as Married-Filed Separate Return (MFS):</t>
  </si>
  <si>
    <t>1.45% of parents' combined income earned from work up to $250,000, (+) plus</t>
  </si>
  <si>
    <t>2.35% of parents' combined income earned from work over $250,000</t>
  </si>
  <si>
    <t>1.45% of parent income earned from work up to $125,000, (+) plus</t>
  </si>
  <si>
    <t>2.35% of parent income earned from work over $125,000, (+) plus</t>
  </si>
  <si>
    <t>1.45% of parent spouse's income earned from work up to $125,000, (+) plus</t>
  </si>
  <si>
    <t>2.35% of parent spouse's income earned from work over $125,000</t>
  </si>
  <si>
    <t>1.45% of dependent student income earned from work up to $200,000, (+) plus</t>
  </si>
  <si>
    <t>2.35% of dependent student income earned from work over $200,000</t>
  </si>
  <si>
    <t>Step 2: Old-age, survivors, and disability insurance (OASDI) Tax Rate</t>
  </si>
  <si>
    <t>If Parent:</t>
  </si>
  <si>
    <t>For those reporting a single parental income, 6.2% of parent's total earned income up to Contributions and Benefit Base of $147,000 for Tax Year 2022. If parent's total earned income exceeds $147,000, then input $9,114*.</t>
  </si>
  <si>
    <t>For those reporting two parental incomes or whose parents filed a joint return, 6.2% of parents total earned income up to Contributions and Benefit Base of $294,000 for Tax Year 2022. If parents' total earned income exceeds $294,000, then input $18,228*.</t>
  </si>
  <si>
    <t>6.2% of student's total earned income up to Contributions and Benefit Base of $147,000 for Tax Year 2022. If the student's total earned income exceeds $147,000, then input $9,114*.</t>
  </si>
  <si>
    <t>Table A4: Asset Protection Allowance (Parents Only)</t>
  </si>
  <si>
    <t>Allowance if there are two parents**</t>
  </si>
  <si>
    <t>Age of older parent as of 12/31/2023*</t>
  </si>
  <si>
    <t>Allowance if there is only one parent</t>
  </si>
  <si>
    <t>65 or older</t>
  </si>
  <si>
    <t>25 or younger</t>
  </si>
  <si>
    <t>*</t>
  </si>
  <si>
    <t>**</t>
  </si>
  <si>
    <t>Determine the age of the older parent listed in FAFSA/FAFSA Submission Summary and # as of 12/31/2023</t>
  </si>
  <si>
    <t>If no parent date of birth is provided, use age 45</t>
  </si>
  <si>
    <t>Use the two-parent allowance when the parent indicator is married</t>
  </si>
  <si>
    <t>Table A3.1: Parent Business/Farm Net Worth Adjustment</t>
  </si>
  <si>
    <t>Table A3.2: Student Business/Farm Net Worth Adjustment</t>
  </si>
  <si>
    <t>Asset Conversion Rate (20%)</t>
  </si>
  <si>
    <t>Sheet Password: FormA</t>
  </si>
  <si>
    <t>Student (and Spouse) Income Additions</t>
  </si>
  <si>
    <t>Student (and Spouse) AGI</t>
  </si>
  <si>
    <t>Student (and Spouse) Deductible Payments to IRA/KEOGH/Other</t>
  </si>
  <si>
    <t>Student (and Spouse) Tax-Exempt Interest Income</t>
  </si>
  <si>
    <t>Student (and Spouse) Untaxed Portions of IRA Distributions (Excluding rollovers; If less than zero, enter zero)</t>
  </si>
  <si>
    <t>Student (and Spouse) Foreign Income Exclusion (reported on US Tax Return; if less than zero, enter the absolute value)</t>
  </si>
  <si>
    <t>Total Student (and Spouse) Income Additions (sum of lines a, b, c, d, e, and f)</t>
  </si>
  <si>
    <t>Student (and Spouse) Income Offsets</t>
  </si>
  <si>
    <t>Student (and Spouse) Education Credits</t>
  </si>
  <si>
    <t>Student (and Spouse) Federal Work-study (FWS)</t>
  </si>
  <si>
    <t>Total Student (and Spouse) Income Offsets (sum of lines g, h, and i)</t>
  </si>
  <si>
    <t>Total Student (and Spouse) Income Additions - Total Student (and Spouse) Income Offsets</t>
  </si>
  <si>
    <t>Allowances Against Student (and Spouse) Income</t>
  </si>
  <si>
    <t>Student (and Spouse) US Income Tax Paid (or Foreign Equivalent)</t>
  </si>
  <si>
    <t>Income Protection Allowance (IPA)</t>
  </si>
  <si>
    <t>If the student indicator is unmarried: $17,310</t>
  </si>
  <si>
    <t>If the student indicator is married: $27,750</t>
  </si>
  <si>
    <t>Payroll Tax Allowance (Table B1)</t>
  </si>
  <si>
    <t>Medicare's Hospital Insurance (HI) Program Tax Rate (Table B1: Step 1)</t>
  </si>
  <si>
    <t>Old-age, survivors, &amp; disability insurance (OASDI) Tax Rate (Table B1: Step 2)</t>
  </si>
  <si>
    <t>Student's
Marital Status</t>
  </si>
  <si>
    <t>If the student indicator is unmarried: $0</t>
  </si>
  <si>
    <t>If the student indicator is married, the lesser of:</t>
  </si>
  <si>
    <t>35% of the student and the student's spouse combined income, OR</t>
  </si>
  <si>
    <t>Total Student (and Spouse) Allowances Against Income (sum lines 4, 5a, 5b, 6, and 7)</t>
  </si>
  <si>
    <t>Total Student (and Spouse) Income (Line 3)</t>
  </si>
  <si>
    <t>Total Student (and Spouse) Allowances Against Income (Line 8)</t>
  </si>
  <si>
    <t>Student (and Spouse) Available Income (StAI; line 3 minus line 8)</t>
  </si>
  <si>
    <t>Student's Contribution from Income (line 9 times line 10)</t>
  </si>
  <si>
    <t>Adjusted net worth of business and/or farm (Table B2)</t>
  </si>
  <si>
    <t>Asset Protection Allowance (Table B3)</t>
  </si>
  <si>
    <t>Discretionary Net Worth</t>
  </si>
  <si>
    <t>Line 16 minus line 17</t>
  </si>
  <si>
    <t>Net worth (sum of lines 12, 13, 14, and 15)</t>
  </si>
  <si>
    <t>Line 18 times line 19</t>
  </si>
  <si>
    <t>Table B1: Payroll Tax Allowance</t>
  </si>
  <si>
    <t>2.35% of student income earned from work over $200,000</t>
  </si>
  <si>
    <t>1.45% of student income earned from work up to $200,000, (+) plus</t>
  </si>
  <si>
    <t>If student filed as Not Married (e.g., Single, HoH or Qualifying Surviving Spouse):</t>
  </si>
  <si>
    <t>If student filed as Married-Filed Joint Return (MFJ):</t>
  </si>
  <si>
    <t>If student filed as Married-Filed Separate Return (MFS):</t>
  </si>
  <si>
    <t>1.45% of student income earned from work up to $125,000, (+) plus</t>
  </si>
  <si>
    <t>2.35% of student income earned from work over $125,000, (+) plus</t>
  </si>
  <si>
    <t>1.45% of student spouse's income earned from work up to $125,000, (+) plus</t>
  </si>
  <si>
    <t>2.35% of student spouse's income earned from work over $125,000</t>
  </si>
  <si>
    <t>For independent students without a spouse or those who only report a single tax return, 6.2% of total earned income up to Contributions and Benefit Base of $147,000 for Tax Year 2022. If student's total earned income exceeds $147,000, then input $9,114*.</t>
  </si>
  <si>
    <t>For those reporting both student and student spouse income or who are married and filed a joint return, 6.2% of total student and student spouse earned income up to Contributions and Benefit Base of $294,000 for Tax Year 2022. If the student and student spouse total earned income exceeds $294,000, then input $18,228*.</t>
  </si>
  <si>
    <t>The OASDI tax rate for wages paid in 2022 is set by statute at 6.2 percent for employees and employers, each. Thus, an individual with wages equal to or larger than $147,000 would contribute $9,114 to the OASDI program in 2022.</t>
  </si>
  <si>
    <t>For more information visit: https://www.ssa.gov/oact/cola/cbb.html</t>
  </si>
  <si>
    <t>Age Student as of 12/31/2023</t>
  </si>
  <si>
    <t>Allowance for married student</t>
  </si>
  <si>
    <t>Allowance for unmarried student</t>
  </si>
  <si>
    <t>Table B2: Business/Farm Net Worth Adjustment</t>
  </si>
  <si>
    <t>SAI = Student's Contribution from Income + Student's Contribution from Assets</t>
  </si>
  <si>
    <t>Sheet Password: FormB</t>
  </si>
  <si>
    <t>Formula B: Independent Students Without Dependent(s) Other than a Spouse</t>
  </si>
  <si>
    <t>Formula C: Independent Students With Dependent(s) Other than a Spouse</t>
  </si>
  <si>
    <t>SAI = Student's Contribution from Adjusted Available Income</t>
  </si>
  <si>
    <t>Sheet Password: FormC</t>
  </si>
  <si>
    <t>Payroll Tax Allowance (Table C1)</t>
  </si>
  <si>
    <t>Medicare's Hospital Insurance (HI) Program Tax Rate (Table C1: Step 1)</t>
  </si>
  <si>
    <t>Old-age, survivors, &amp; disability insurance (OASDI) Tax Rate (Table C1: Step 2)</t>
  </si>
  <si>
    <t>See Table C2 if the student indicator is married with dependents</t>
  </si>
  <si>
    <t>See Table C3 if the student indicator is unmarried with dependents</t>
  </si>
  <si>
    <t>35% of the student earned income, OR</t>
  </si>
  <si>
    <t>35% of the student and the student's spouse combined earned income, OR</t>
  </si>
  <si>
    <t>If the student indicator is unmarried, the lesser of:</t>
  </si>
  <si>
    <t>Student's Available Income (StAI)</t>
  </si>
  <si>
    <t>Adjusted net worth of business and/or farm (Table C4)</t>
  </si>
  <si>
    <t>Net worth of business and/or farm multiplied by the applicable adjustment in Table C4</t>
  </si>
  <si>
    <t>Net worth (sum of lines 10, 11, 12, and 13)</t>
  </si>
  <si>
    <t>Asset Protection Allowance (APA; Table C5)</t>
  </si>
  <si>
    <t>Line 14 minus line 15</t>
  </si>
  <si>
    <t>Asset Conversion Rate (7%)</t>
  </si>
  <si>
    <t>Line 16 times line 17</t>
  </si>
  <si>
    <t>Student Available Income (Line 9)</t>
  </si>
  <si>
    <t>Student's Contribution from Assets (Line 18)</t>
  </si>
  <si>
    <t>Student Adjusted Available Income (AAI; Sum of lines 9 and 18)</t>
  </si>
  <si>
    <t>Total Student Contribution from AAI (Table C6)</t>
  </si>
  <si>
    <t>If line 20 is positive, SAI = line 20</t>
  </si>
  <si>
    <t>If line 20 is negative and &lt; -1500, adjust to -1500 (e.g., if -2000, set to -1500)</t>
  </si>
  <si>
    <t>If line 20 is negative and ≤ -1500, do not adjust (e.g., if -1000, leave as -1000)</t>
  </si>
  <si>
    <t>Table C1: Payroll Tax Allowance</t>
  </si>
  <si>
    <t>Table C2: Income Protection Allowance - Married with Dependents</t>
  </si>
  <si>
    <t>Table C3: Income Protection Allowance - Unmarried with Dependents</t>
  </si>
  <si>
    <t>Student's 
Family Size</t>
  </si>
  <si>
    <t>Table C4: Business/Farm Net Worth Adjustment</t>
  </si>
  <si>
    <t>Table C5: Asset Protection Allowance</t>
  </si>
  <si>
    <t>If the AAI is ____</t>
  </si>
  <si>
    <t>Then the contribution from AAI is ____</t>
  </si>
  <si>
    <t>Parents' Taxable College Grant and Scholarship Aid (Reported as income)</t>
  </si>
  <si>
    <t>Asset Protection Allowance (APA; Table A4)</t>
  </si>
  <si>
    <t>Student Aid Index (sum of lines 19, 30, and 36)</t>
  </si>
  <si>
    <t>Table A2: Income Protection Allowance (each additional household member beyond 6 adds $6,610)</t>
  </si>
  <si>
    <t>Adjusted net worth of business and/or farm (Table A3.1)</t>
  </si>
  <si>
    <t>Net worth of business and/or farm multiplied by the applicable adjustment in Table A3.1</t>
  </si>
  <si>
    <t>Adjusted net worth of business and/or farm (Table A3.2)</t>
  </si>
  <si>
    <t>Net worth of business and/or farm multiplied by the applicable adjustment in Table A3.2</t>
  </si>
  <si>
    <t>Student (and Spouse) Untaxed Portions of Pensions (Excluding rollovers; if less than zero, enter zero)</t>
  </si>
  <si>
    <t>Student (and Spouse) College Grant and Scholarship Aid</t>
  </si>
  <si>
    <t>Total Student (and Spouse) Income (line 1 minus line 2)</t>
  </si>
  <si>
    <t>Assessment of Student Available Income (50%)</t>
  </si>
  <si>
    <t>Net worth of business and/or farm multiplied by the applicable adjustment in Table B2</t>
  </si>
  <si>
    <t>Student's Contribution from Income (Line 11)</t>
  </si>
  <si>
    <t>Student's Contribution from Assets (Line 20)</t>
  </si>
  <si>
    <t>Student Aid Index (SAI; sum of lines 11 and 20)</t>
  </si>
  <si>
    <t>1.45% of student and student spouse's combined income earned from work up to $250,000, (+) plus</t>
  </si>
  <si>
    <t>2.35% of student and student spouse's combined income earned from work over $250,000</t>
  </si>
  <si>
    <t>Social Security's Old-Age, Survivors, and Disability Insurance (OASDI) program limits the amount of earnings subject to taxation for a given year. The same annual limit also applies when those earnings are used in a benefit computation. This limit changes each year with changes in the national average wage index. For earnings in 2022, this base is $147,000.</t>
  </si>
  <si>
    <t>Table B3: Asset Protection Allowance</t>
  </si>
  <si>
    <t>If negative and &gt;= -1500, do not adjust (e.g., if -1000, leave as -1000)</t>
  </si>
  <si>
    <t>Parent Filing Status:</t>
  </si>
  <si>
    <t>Married - Filed Joint Return</t>
  </si>
  <si>
    <t>Single</t>
  </si>
  <si>
    <t>Head of Household</t>
  </si>
  <si>
    <t>Qualifying Surviving Spouse</t>
  </si>
  <si>
    <t>Married - Filed Separate Return</t>
  </si>
  <si>
    <t>Student Filing Status:</t>
  </si>
  <si>
    <t>YES</t>
  </si>
  <si>
    <t>NO</t>
  </si>
  <si>
    <t>Married</t>
  </si>
  <si>
    <t>Unmarried</t>
  </si>
  <si>
    <t>Table C6: Assessment from Adjusted Available Income</t>
  </si>
  <si>
    <t>Student Earned Income</t>
  </si>
  <si>
    <t>Spouse Earned Income</t>
  </si>
  <si>
    <t>P1 Earned Income</t>
  </si>
  <si>
    <t>P2 Earned Income</t>
  </si>
  <si>
    <t>Manual Entry SAI</t>
  </si>
  <si>
    <t>Calculated SAI</t>
  </si>
  <si>
    <t>Which SAI will be used?</t>
  </si>
  <si>
    <t>Which Formula will be used?</t>
  </si>
  <si>
    <t>Formual C (Independent Student with dependents other than a spouse)</t>
  </si>
  <si>
    <t>Formula B (Independent Student without dependents other than a spouse)</t>
  </si>
  <si>
    <t>Max Pell Eligible?</t>
  </si>
  <si>
    <t>Calculated Scheduled Award (CSA)</t>
  </si>
  <si>
    <t>Min Pell Eligible?</t>
  </si>
  <si>
    <t>CSA Rounded
to the nearest $5.00</t>
  </si>
  <si>
    <t>Max Pell Amount</t>
  </si>
  <si>
    <t>Min Pell Amount</t>
  </si>
  <si>
    <t>*As determined by Congress*</t>
  </si>
  <si>
    <t>Formula A (Dependent Student)</t>
  </si>
  <si>
    <t>Fall Award after 
Enrollment Intensity</t>
  </si>
  <si>
    <t>Spring Term
Title IV Credits</t>
  </si>
  <si>
    <t>Fall Term 
Title IV Credits</t>
  </si>
  <si>
    <t xml:space="preserve"> Spring Award after 
Enrollment Intensity</t>
  </si>
  <si>
    <t>Pell Award - Standard Terms - Max, Calculated, Min Award</t>
  </si>
  <si>
    <t>Title IV Term Credits</t>
  </si>
  <si>
    <t>Fall Award Amount</t>
  </si>
  <si>
    <t>Annual Pell Award Amount</t>
  </si>
  <si>
    <t>Spring Award Amount</t>
  </si>
  <si>
    <t>Full-Time</t>
  </si>
  <si>
    <t>Three-Quarter Time</t>
  </si>
  <si>
    <t>Half-Time</t>
  </si>
  <si>
    <t>Less-Than-Half-Time</t>
  </si>
  <si>
    <t>Summer Award Amount*</t>
  </si>
  <si>
    <t>Manual Entry Data Elements</t>
  </si>
  <si>
    <t>Sheet Password: PellCalc</t>
  </si>
  <si>
    <t>1040 Line 11</t>
  </si>
  <si>
    <t>1040 Line 4a minus 1040 Line 4b (Exclude Rollovers if "Rollover" written or typed next to 1040 Line 4b)</t>
  </si>
  <si>
    <t>1040 Line 5a minus 1040 Line 5b (Exclude Rollovers if "Rollover" written or typed next to 1040 Line 5b)</t>
  </si>
  <si>
    <t>Schedule 1 Line 16 plus Schedule 1 Line 20</t>
  </si>
  <si>
    <t>1040 Line 2a</t>
  </si>
  <si>
    <t>Schedule 1 Line 8d</t>
  </si>
  <si>
    <t>Where to find these data elements on an IRS Form 1040:</t>
  </si>
  <si>
    <t>Summer Award after 
Enrollment Intensity*</t>
  </si>
  <si>
    <t>Student's Parent is a Single Parent</t>
  </si>
  <si>
    <t>Family Size</t>
  </si>
  <si>
    <t>2022 Poverty Guidline</t>
  </si>
  <si>
    <t>Add $4,720 to the poverty guideline for each additional person. Then multiply the AGI by 225% (Max Pell) or 325% (Min Pell) to determine the Parent AGI Limit.</t>
  </si>
  <si>
    <t>Max Pell Parent AGI Limit (225% Poverty Guidline)</t>
  </si>
  <si>
    <t>Max Pell Parent AGI Limit (175% Poverty Guidline)</t>
  </si>
  <si>
    <t>Min Pell Parent AGI Limit (275% Poverty Guideline)</t>
  </si>
  <si>
    <t>Min Pell Parent AGI Limit (325% Poverty Guideline)</t>
  </si>
  <si>
    <t>Add $5,900 to the poverty guideline for each additional person. Then multiply the AGI by 225% (Max Pell) or 325% (Min Pell) to determine the Parent AGI Limit.</t>
  </si>
  <si>
    <t>Add $4,720 to the poverty guideline for each additional person. Then multiply the AGI by 175% (Max Pell) or 275% (Min Pell) to determine the Parent AGI Limit.</t>
  </si>
  <si>
    <t>Add $5,430 to the poverty guideline for each additional person. Then multiply the AGI by 225% (Max Pell) or 325% (Min Pell) to determine the Parent AGI Limit.</t>
  </si>
  <si>
    <t>Add $5,430 to the poverty guideline for each additional person. Then multiply the AGI by 175% (Max Pell) or 275% (Min Pell) to determine the Parent AGI Limit.</t>
  </si>
  <si>
    <t>Add $5,900 to the poverty guideline for each additional person. Then multiply the AGI by 175% (Max Pell) or 275% (Min Pell) to determine the Parent AGI Limit.</t>
  </si>
  <si>
    <t>Independent Student Tables: 48 Contiguous States and District of Columbia</t>
  </si>
  <si>
    <t>Dependent Student Tables: 48 Contiguous States and District of Columbia</t>
  </si>
  <si>
    <t>Dependent Student Tables: Alaska</t>
  </si>
  <si>
    <t>Dependent Student Tables: Hawaii</t>
  </si>
  <si>
    <t>Independent Student Tables: Alaska</t>
  </si>
  <si>
    <t>Independent Student Tables: Hawaii</t>
  </si>
  <si>
    <t>Student is a Single Parent</t>
  </si>
  <si>
    <t>Max Pell Student AGI Limit (225% Poverty Guidline)</t>
  </si>
  <si>
    <t>Max Pell Student AGI Limit (175% Poverty Guidline)</t>
  </si>
  <si>
    <t>Min Pell Student AGI Limit (275% Poverty Guideline)</t>
  </si>
  <si>
    <t>Add $4,720 to the poverty guideline for each additional person. Then multiply the AGI by 175% (Max Pell) or 275% (Min Pell) to determine the Student AGI Limit.</t>
  </si>
  <si>
    <t>Add $5,900 to the poverty guideline for each additional person. Then multiply the AGI by 175% (Max Pell) or 275% (Min Pell) to determine the Student AGI Limit.</t>
  </si>
  <si>
    <t>Add $5,430 to the poverty guideline for each additional person. Then multiply the AGI by 175% (Max Pell) or 275% (Min Pell) to determine the Student AGI Limit.</t>
  </si>
  <si>
    <t>Min Pell Student AGI Limit (400% Poverty Guideline)</t>
  </si>
  <si>
    <t>Student is a Parent, but is not single</t>
  </si>
  <si>
    <t>Min Pell Student AGI Limit (350% Poverty Guideline)</t>
  </si>
  <si>
    <t>Student is not a Parent</t>
  </si>
  <si>
    <t>Add $4,720 to the poverty guideline for each additional person. Then multiply the AGI by 225% (Max Pell) or 400% (Min Pell) to determine the Student AGI Limit.</t>
  </si>
  <si>
    <t>Add $4,720 to the poverty guideline for each additional person. Then multiply the AGI by 175% (Max Pell) or 350% (Min Pell) to determine the Student AGI Limit.</t>
  </si>
  <si>
    <t>Add $5,900 to the poverty guideline for each additional person. Then multiply the AGI by 175% (Max Pell) or 350% (Min Pell) to determine the Student AGI Limit.</t>
  </si>
  <si>
    <t>Add $5,900 to the poverty guideline for each additional person. Then multiply the AGI by 225% (Max Pell) or 400% (Min Pell) to determine the Student AGI Limit.</t>
  </si>
  <si>
    <t>Add $5,430 to the poverty guideline for each additional person. Then multiply the AGI by 225% (Max Pell) or 400% (Min Pell) to determine the Student AGI Limit.</t>
  </si>
  <si>
    <t>Add $5,430 to the poverty guideline for each additional person. Then multiply the AGI by 175% (Max Pell) or 350% (Min Pell) to determine the Student AGI Limit.</t>
  </si>
  <si>
    <t>Student's Parent is not a Single Parent</t>
  </si>
  <si>
    <t>Dependency Status</t>
  </si>
  <si>
    <t>State of Residence</t>
  </si>
  <si>
    <t>Dependent</t>
  </si>
  <si>
    <t>Independent</t>
  </si>
  <si>
    <t>AL - Alabama</t>
  </si>
  <si>
    <t>AK - Alaska</t>
  </si>
  <si>
    <t>AZ - Arizona</t>
  </si>
  <si>
    <t>AR - Arkansas</t>
  </si>
  <si>
    <t>CA - California</t>
  </si>
  <si>
    <t>CO - Colorado</t>
  </si>
  <si>
    <t>CT - Connecticut</t>
  </si>
  <si>
    <t>DE - Delaware</t>
  </si>
  <si>
    <t>DC - District of Columbia</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</si>
  <si>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</si>
  <si>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</si>
  <si>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</si>
  <si>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</si>
  <si>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</si>
  <si>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</si>
  <si>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</si>
  <si>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</si>
  <si>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</si>
  <si>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</si>
  <si>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</si>
  <si>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</si>
  <si>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</si>
  <si>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</si>
  <si>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</si>
  <si>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</si>
  <si>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</si>
  <si>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</si>
  <si>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</si>
  <si>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</si>
  <si>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</si>
  <si>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</si>
  <si>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</si>
  <si>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</si>
  <si>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</si>
  <si>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</si>
  <si>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</si>
  <si>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</si>
  <si>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</si>
  <si>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</si>
  <si>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</si>
  <si>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</si>
  <si>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</si>
  <si>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</si>
  <si>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</si>
  <si>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</si>
  <si>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</si>
  <si>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</si>
  <si>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</si>
  <si>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</si>
  <si>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</si>
  <si>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</si>
  <si>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Max Pell Eligible
AGI Limit</t>
  </si>
  <si>
    <t>Min Pell Eligible
AGI Limit</t>
  </si>
  <si>
    <t>Sheet Password: MaxMin</t>
  </si>
  <si>
    <t>Summer Term
Title IV Credits</t>
  </si>
  <si>
    <t>8863 Line 8 plus 8863 Line 19</t>
  </si>
  <si>
    <t>1040 Line 24</t>
  </si>
  <si>
    <t>↙ If these boxes are red, then assets may not be required
Check - No Schedules, Schedule C only with gain/loss less than 10K, MTB recipient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</si>
</sst>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quot;$&quot;#,##0.00"/>
    <numFmt numFmtId="167" formatCode="0.0"/>
  </numFmts>
  <fonts count="11" x14ac:knownFonts="1">
    <font>
      <sz val="11"/>
      <color theme="1"/>
      <name val="Calibri"/>
      <family val="2"/>
    </font>
    <font>
      <b/>
      <sz val="11"/>
      <color theme="1"/>
      <name val="Calibri"/>
      <family val="2"/>
    </font>
    <font>
      <sz val="11"/>
      <color theme="1"/>
      <name val="Symbol"/>
      <family val="1"/>
      <charset val="2"/>
    </font>
    <font>
      <b/>
      <sz val="12"/>
      <color theme="1"/>
      <name val="Calibri"/>
      <family val="2"/>
    </font>
    <font>
      <b/>
      <sz val="14"/>
      <color theme="1"/>
      <name val="Calibri"/>
      <family val="2"/>
    </font>
    <font>
      <b/>
      <sz val="14"/>
      <color theme="0"/>
      <name val="Calibri"/>
      <family val="2"/>
    </font>
    <font>
      <b/>
      <sz val="12"/>
      <color theme="0"/>
      <name val="Calibri"/>
      <family val="2"/>
    </font>
    <font>
      <sz val="11"/>
      <color theme="1"/>
      <name val="Calibri"/>
      <family val="2"/>
      <scheme val="minor"/>
    </font>
    <font>
      <sz val="14"/>
      <color theme="1"/>
      <name val="Calibri"/>
      <family val="2"/>
    </font>
    <font>
      <b/>
      <sz val="11"/>
      <color rgb="FFC00000"/>
      <name val="Calibri"/>
      <family val="2"/>
    </font>
    <font>
      <b/>
      <sz val="11"/>
      <color theme="0"/>
      <name val="Calibri"/>
      <family val="2"/>
    </font>
  </fonts>
  <fills count="13">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rgb="FFC0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C00000"/>
      </bottom>
      <diagonal/>
    </border>
    <border>
      <left/>
      <right style="thick">
        <color rgb="FFC00000"/>
      </right>
      <top style="thick">
        <color rgb="FFC00000"/>
      </top>
      <bottom/>
      <diagonal/>
    </border>
    <border>
      <left/>
      <right style="thick">
        <color rgb="FFC00000"/>
      </right>
      <top/>
      <bottom/>
      <diagonal/>
    </border>
    <border>
      <left/>
      <right style="thick">
        <color rgb="FFC00000"/>
      </right>
      <top/>
      <bottom style="thick">
        <color rgb="FFC00000"/>
      </bottom>
      <diagonal/>
    </border>
    <border>
      <left style="thick">
        <color rgb="FFC00000"/>
      </left>
      <right/>
      <top style="thick">
        <color rgb="FFC00000"/>
      </top>
      <bottom/>
      <diagonal/>
    </border>
    <border>
      <left/>
      <right/>
      <top style="thick">
        <color rgb="FFC00000"/>
      </top>
      <bottom/>
      <diagonal/>
    </border>
    <border>
      <left style="thick">
        <color rgb="FFC00000"/>
      </left>
      <right/>
      <top/>
      <bottom style="thick">
        <color rgb="FFC00000"/>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C00000"/>
      </left>
      <right/>
      <top/>
      <bottom/>
      <diagonal/>
    </border>
  </borders>
  <cellStyleXfs count="1">
    <xf numFmtId="0" fontId="0" fillId="0" borderId="0"/>
  </cellStyleXfs>
  <cellXfs count="376">
    <xf numFmtId="0" fontId="0" fillId="0" borderId="0" xfId="0"/>
    <xf numFmtId="49" fontId="0" fillId="0" borderId="0" xfId="0" applyNumberFormat="1" applyAlignment="1">
      <alignment horizontal="center" vertical="center"/>
    </xf>
    <xf numFmtId="49" fontId="0" fillId="0" borderId="0" xfId="0" applyNumberFormat="1" applyAlignment="1">
      <alignment vertical="center"/>
    </xf>
    <xf numFmtId="44" fontId="0" fillId="0" borderId="0" xfId="0" applyNumberFormat="1" applyAlignment="1">
      <alignment vertical="center"/>
    </xf>
    <xf numFmtId="49" fontId="1" fillId="0" borderId="0" xfId="0" applyNumberFormat="1" applyFont="1" applyAlignment="1">
      <alignment vertical="center"/>
    </xf>
    <xf numFmtId="0" fontId="0" fillId="0" borderId="0" xfId="0" applyAlignment="1">
      <alignment horizont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7" fillId="0" borderId="0" xfId="0" applyFont="1" applyAlignment="1">
      <alignment vertical="top" wrapText="1"/>
    </xf>
    <xf numFmtId="0" fontId="7" fillId="0" borderId="8" xfId="0" applyFont="1" applyBorder="1"/>
    <xf numFmtId="0" fontId="7" fillId="0" borderId="10" xfId="0" applyFont="1" applyBorder="1"/>
    <xf numFmtId="44" fontId="0" fillId="5" borderId="1" xfId="0" applyNumberFormat="1" applyFill="1" applyBorder="1" applyAlignment="1" applyProtection="1">
      <alignment vertical="center"/>
      <protection locked="0"/>
    </xf>
    <xf numFmtId="0" fontId="7" fillId="0" borderId="0" xfId="0" applyFont="1" applyAlignment="1">
      <alignment horizontal="center" vertical="top" wrapText="1"/>
    </xf>
    <xf numFmtId="0" fontId="2" fillId="0" borderId="5" xfId="0" applyFont="1" applyBorder="1" applyAlignment="1">
      <alignment horizontal="left" vertical="center"/>
    </xf>
    <xf numFmtId="0" fontId="7" fillId="0" borderId="0" xfId="0" applyFont="1" applyAlignment="1">
      <alignment horizontal="right" vertical="center" wrapText="1"/>
    </xf>
    <xf numFmtId="0" fontId="0" fillId="0" borderId="16" xfId="0" applyBorder="1"/>
    <xf numFmtId="0" fontId="0" fillId="0" borderId="17" xfId="0" applyBorder="1"/>
    <xf numFmtId="0" fontId="0" fillId="0" borderId="18" xfId="0" applyBorder="1"/>
    <xf numFmtId="0" fontId="0" fillId="0" borderId="19" xfId="0" applyBorder="1"/>
    <xf numFmtId="49" fontId="0" fillId="0" borderId="11" xfId="0" applyNumberFormat="1" applyBorder="1" applyAlignment="1">
      <alignment horizontal="left"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0" fillId="0" borderId="6" xfId="0" applyNumberFormat="1" applyBorder="1" applyAlignment="1">
      <alignment horizontal="left" vertical="center"/>
    </xf>
    <xf numFmtId="49" fontId="0" fillId="0" borderId="8"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vertical="top"/>
    </xf>
    <xf numFmtId="49" fontId="0" fillId="0" borderId="9" xfId="0" applyNumberFormat="1" applyBorder="1" applyAlignment="1">
      <alignment horizontal="left" vertical="center"/>
    </xf>
    <xf numFmtId="49" fontId="1" fillId="2" borderId="15"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0" xfId="0" applyNumberFormat="1" applyBorder="1" applyAlignment="1">
      <alignment horizontal="left" vertical="center"/>
    </xf>
    <xf numFmtId="49" fontId="0" fillId="0" borderId="11" xfId="0" applyNumberFormat="1" applyBorder="1" applyAlignment="1">
      <alignmen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5" xfId="0" applyNumberFormat="1" applyBorder="1" applyAlignment="1">
      <alignment horizontal="left" vertical="center"/>
    </xf>
    <xf numFmtId="49" fontId="0" fillId="2" borderId="1" xfId="0" applyNumberFormat="1" applyFill="1" applyBorder="1" applyAlignment="1">
      <alignment horizontal="center" vertical="center"/>
    </xf>
    <xf numFmtId="49" fontId="2" fillId="0" borderId="0" xfId="0" applyNumberFormat="1" applyFont="1" applyAlignment="1">
      <alignment horizontal="left" vertical="center"/>
    </xf>
    <xf numFmtId="44" fontId="0" fillId="2" borderId="1" xfId="0" applyNumberFormat="1" applyFill="1" applyBorder="1" applyAlignment="1">
      <alignment vertical="center"/>
    </xf>
    <xf numFmtId="49" fontId="2" fillId="0" borderId="11" xfId="0" applyNumberFormat="1" applyFont="1" applyBorder="1" applyAlignment="1">
      <alignment horizontal="left" vertical="center"/>
    </xf>
    <xf numFmtId="9" fontId="0" fillId="0" borderId="1" xfId="0" applyNumberFormat="1" applyBorder="1" applyAlignment="1">
      <alignment vertical="center"/>
    </xf>
    <xf numFmtId="49" fontId="0" fillId="2" borderId="4" xfId="0" applyNumberFormat="1" applyFill="1" applyBorder="1" applyAlignment="1">
      <alignment horizontal="center" vertical="center"/>
    </xf>
    <xf numFmtId="49" fontId="0" fillId="2" borderId="12" xfId="0" applyNumberFormat="1" applyFill="1" applyBorder="1" applyAlignment="1">
      <alignment horizontal="center" vertical="center"/>
    </xf>
    <xf numFmtId="165" fontId="0" fillId="5" borderId="1" xfId="0" applyNumberFormat="1" applyFill="1" applyBorder="1" applyAlignment="1" applyProtection="1">
      <alignment vertical="center"/>
      <protection locked="0"/>
    </xf>
    <xf numFmtId="165" fontId="0" fillId="0" borderId="1" xfId="0" applyNumberFormat="1" applyBorder="1" applyAlignment="1">
      <alignment vertical="center"/>
    </xf>
    <xf numFmtId="42" fontId="0" fillId="5" borderId="1" xfId="0" applyNumberFormat="1" applyFill="1" applyBorder="1" applyAlignment="1" applyProtection="1">
      <alignment vertical="center"/>
      <protection locked="0"/>
    </xf>
    <xf numFmtId="42" fontId="0" fillId="0" borderId="1" xfId="0" applyNumberFormat="1" applyBorder="1" applyAlignment="1">
      <alignment vertical="center"/>
    </xf>
    <xf numFmtId="42" fontId="0" fillId="0" borderId="1" xfId="0" applyNumberFormat="1" applyBorder="1" applyAlignment="1">
      <alignment horizontal="center" vertical="center"/>
    </xf>
    <xf numFmtId="0" fontId="0" fillId="0" borderId="24" xfId="0" applyBorder="1"/>
    <xf numFmtId="0" fontId="0" fillId="0" borderId="25" xfId="0" applyBorder="1"/>
    <xf numFmtId="0" fontId="0" fillId="0" borderId="26" xfId="0" applyBorder="1"/>
    <xf numFmtId="0" fontId="0" fillId="0" borderId="27" xfId="0" applyBorder="1"/>
    <xf numFmtId="0" fontId="0" fillId="0" borderId="0" xfId="0" applyAlignment="1">
      <alignment horizontal="center" vertical="center"/>
    </xf>
    <xf numFmtId="0" fontId="0" fillId="0" borderId="28" xfId="0" applyBorder="1"/>
    <xf numFmtId="0" fontId="0" fillId="0" borderId="29" xfId="0" applyBorder="1"/>
    <xf numFmtId="0" fontId="0" fillId="0" borderId="30" xfId="0" applyBorder="1"/>
    <xf numFmtId="0" fontId="0" fillId="0" borderId="20" xfId="0" applyBorder="1"/>
    <xf numFmtId="0" fontId="0" fillId="0" borderId="21" xfId="0" applyBorder="1"/>
    <xf numFmtId="0" fontId="0" fillId="0" borderId="31" xfId="0" applyBorder="1"/>
    <xf numFmtId="0" fontId="0" fillId="0" borderId="22" xfId="0" applyBorder="1"/>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1" fontId="0" fillId="0" borderId="18" xfId="0" applyNumberFormat="1" applyBorder="1" applyAlignment="1">
      <alignment horizontal="center" vertical="center"/>
    </xf>
    <xf numFmtId="166" fontId="8" fillId="0" borderId="0" xfId="0" applyNumberFormat="1" applyFont="1" applyAlignment="1">
      <alignment horizontal="center" vertical="center"/>
    </xf>
    <xf numFmtId="164" fontId="0" fillId="0" borderId="0" xfId="0" applyNumberFormat="1" applyAlignment="1">
      <alignment vertical="center" wrapText="1"/>
    </xf>
    <xf numFmtId="164" fontId="0" fillId="0" borderId="0" xfId="0" applyNumberFormat="1" applyAlignment="1">
      <alignment horizontal="center" vertical="center"/>
    </xf>
    <xf numFmtId="1" fontId="0" fillId="0" borderId="0" xfId="0" applyNumberFormat="1" applyAlignment="1">
      <alignment horizontal="center" vertical="center"/>
    </xf>
    <xf numFmtId="166" fontId="8" fillId="0" borderId="16" xfId="0"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19" xfId="0" applyNumberFormat="1" applyBorder="1" applyAlignment="1">
      <alignment horizontal="center" vertical="center"/>
    </xf>
    <xf numFmtId="164" fontId="0" fillId="0" borderId="0" xfId="0" applyNumberFormat="1" applyAlignment="1">
      <alignment horizontal="center" vertical="center" wrapText="1"/>
    </xf>
    <xf numFmtId="49" fontId="0" fillId="8" borderId="2" xfId="0" applyNumberFormat="1" applyFill="1" applyBorder="1" applyAlignment="1">
      <alignment horizontal="left" vertical="center"/>
    </xf>
    <xf numFmtId="49" fontId="0" fillId="8" borderId="3" xfId="0" applyNumberFormat="1" applyFill="1" applyBorder="1" applyAlignment="1">
      <alignment horizontal="left" vertical="center"/>
    </xf>
    <xf numFmtId="49" fontId="0" fillId="8" borderId="4" xfId="0" applyNumberFormat="1" applyFill="1" applyBorder="1" applyAlignment="1">
      <alignment horizontal="left" vertical="center"/>
    </xf>
    <xf numFmtId="49" fontId="0" fillId="8" borderId="5" xfId="0" applyNumberFormat="1" applyFill="1" applyBorder="1" applyAlignment="1">
      <alignment horizontal="left" vertical="center"/>
    </xf>
    <xf numFmtId="49" fontId="0" fillId="8" borderId="6" xfId="0" applyNumberFormat="1" applyFill="1" applyBorder="1" applyAlignment="1">
      <alignment horizontal="left" vertical="center"/>
    </xf>
    <xf numFmtId="49" fontId="0" fillId="8" borderId="7" xfId="0" applyNumberFormat="1" applyFill="1" applyBorder="1" applyAlignment="1">
      <alignment horizontal="left" vertical="center"/>
    </xf>
    <xf numFmtId="49" fontId="0" fillId="8" borderId="8" xfId="0" applyNumberFormat="1" applyFill="1" applyBorder="1" applyAlignment="1">
      <alignment horizontal="left" vertical="center"/>
    </xf>
    <xf numFmtId="49" fontId="0" fillId="8" borderId="0" xfId="0" applyNumberFormat="1" applyFill="1" applyAlignment="1">
      <alignment horizontal="left" vertical="center"/>
    </xf>
    <xf numFmtId="49" fontId="0" fillId="8" borderId="9" xfId="0" applyNumberFormat="1" applyFill="1" applyBorder="1" applyAlignment="1">
      <alignment horizontal="left" vertical="center"/>
    </xf>
    <xf numFmtId="49" fontId="0" fillId="8" borderId="10" xfId="0" applyNumberFormat="1" applyFill="1" applyBorder="1" applyAlignment="1">
      <alignment horizontal="left" vertical="center"/>
    </xf>
    <xf numFmtId="49" fontId="0" fillId="8" borderId="11" xfId="0" applyNumberFormat="1" applyFill="1" applyBorder="1" applyAlignment="1">
      <alignment horizontal="left" vertical="center"/>
    </xf>
    <xf numFmtId="49" fontId="0" fillId="8" borderId="12" xfId="0" applyNumberFormat="1" applyFill="1" applyBorder="1" applyAlignment="1">
      <alignment horizontal="left" vertical="center"/>
    </xf>
    <xf numFmtId="49" fontId="1" fillId="10" borderId="2" xfId="0" applyNumberFormat="1" applyFont="1" applyFill="1" applyBorder="1" applyAlignment="1">
      <alignment horizontal="left" vertical="center"/>
    </xf>
    <xf numFmtId="49" fontId="1" fillId="10" borderId="3" xfId="0" applyNumberFormat="1" applyFont="1" applyFill="1" applyBorder="1" applyAlignment="1">
      <alignment horizontal="left" vertical="center"/>
    </xf>
    <xf numFmtId="49" fontId="1" fillId="10" borderId="4" xfId="0" applyNumberFormat="1" applyFont="1"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1" fillId="3" borderId="8" xfId="0" applyNumberFormat="1" applyFont="1" applyFill="1" applyBorder="1" applyAlignment="1">
      <alignment horizontal="left" vertical="center"/>
    </xf>
    <xf numFmtId="49" fontId="1" fillId="3" borderId="0" xfId="0" applyNumberFormat="1" applyFont="1" applyFill="1" applyAlignment="1">
      <alignment horizontal="left" vertical="center"/>
    </xf>
    <xf numFmtId="49" fontId="1" fillId="3" borderId="11" xfId="0" applyNumberFormat="1" applyFont="1" applyFill="1" applyBorder="1" applyAlignment="1">
      <alignment horizontal="left" vertical="center"/>
    </xf>
    <xf numFmtId="49" fontId="1" fillId="3" borderId="12" xfId="0" applyNumberFormat="1" applyFont="1" applyFill="1" applyBorder="1" applyAlignment="1">
      <alignment horizontal="left" vertical="center"/>
    </xf>
    <xf numFmtId="49" fontId="0" fillId="0" borderId="11" xfId="0" applyNumberFormat="1" applyBorder="1" applyAlignment="1">
      <alignment horizontal="left" vertical="center"/>
    </xf>
    <xf numFmtId="49" fontId="0" fillId="0" borderId="12"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left" vertical="center"/>
    </xf>
    <xf numFmtId="49" fontId="0" fillId="0" borderId="6" xfId="0" applyNumberFormat="1" applyBorder="1" applyAlignment="1">
      <alignment horizontal="left" vertical="center"/>
    </xf>
    <xf numFmtId="49" fontId="0" fillId="0" borderId="7" xfId="0" applyNumberFormat="1" applyBorder="1" applyAlignment="1">
      <alignment horizontal="left" vertical="center"/>
    </xf>
    <xf numFmtId="49" fontId="0" fillId="0" borderId="1" xfId="0" applyNumberFormat="1" applyBorder="1" applyAlignment="1">
      <alignment horizontal="center" vertical="center"/>
    </xf>
    <xf numFmtId="49" fontId="5" fillId="4" borderId="2"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49" fontId="0" fillId="0" borderId="0" xfId="0" applyNumberFormat="1" applyAlignment="1">
      <alignment horizontal="center" vertical="center"/>
    </xf>
    <xf numFmtId="49" fontId="4" fillId="0" borderId="0" xfId="0" applyNumberFormat="1" applyFont="1" applyAlignment="1">
      <alignment horizontal="left" vertical="center"/>
    </xf>
    <xf numFmtId="49" fontId="3" fillId="0" borderId="0" xfId="0" applyNumberFormat="1" applyFont="1" applyAlignment="1">
      <alignment horizontal="left" vertical="center"/>
    </xf>
    <xf numFmtId="165" fontId="0" fillId="5" borderId="1" xfId="0" applyNumberFormat="1" applyFill="1" applyBorder="1" applyAlignment="1" applyProtection="1">
      <alignment horizontal="center" vertical="center"/>
      <protection locked="0"/>
    </xf>
    <xf numFmtId="165" fontId="0" fillId="5" borderId="2"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165" fontId="0" fillId="5" borderId="4" xfId="0" applyNumberFormat="1" applyFill="1"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1" fontId="0" fillId="5" borderId="2" xfId="0" applyNumberForma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65" fontId="0" fillId="0" borderId="1" xfId="0" applyNumberFormat="1" applyBorder="1" applyAlignment="1">
      <alignment horizontal="center" vertical="center"/>
    </xf>
    <xf numFmtId="44" fontId="0" fillId="5" borderId="1" xfId="0" applyNumberFormat="1" applyFill="1" applyBorder="1" applyAlignment="1" applyProtection="1">
      <alignment horizontal="center" vertical="center"/>
      <protection locked="0"/>
    </xf>
    <xf numFmtId="44" fontId="0" fillId="0" borderId="1" xfId="0" applyNumberFormat="1" applyBorder="1" applyAlignment="1">
      <alignment horizontal="center" vertical="center"/>
    </xf>
    <xf numFmtId="165" fontId="0" fillId="6" borderId="1" xfId="0" applyNumberFormat="1" applyFill="1" applyBorder="1" applyAlignment="1">
      <alignment horizontal="center" vertical="center"/>
    </xf>
    <xf numFmtId="49" fontId="1" fillId="3" borderId="2" xfId="0" applyNumberFormat="1" applyFont="1" applyFill="1" applyBorder="1" applyAlignment="1">
      <alignment horizontal="left" vertical="center"/>
    </xf>
    <xf numFmtId="49" fontId="1" fillId="3" borderId="3" xfId="0" applyNumberFormat="1" applyFont="1" applyFill="1" applyBorder="1" applyAlignment="1">
      <alignment horizontal="left" vertical="center"/>
    </xf>
    <xf numFmtId="49" fontId="1" fillId="3" borderId="4" xfId="0" applyNumberFormat="1" applyFont="1" applyFill="1" applyBorder="1" applyAlignment="1">
      <alignment horizontal="left" vertical="center"/>
    </xf>
    <xf numFmtId="49" fontId="1" fillId="3" borderId="5" xfId="0" applyNumberFormat="1" applyFont="1" applyFill="1" applyBorder="1" applyAlignment="1">
      <alignment horizontal="left" vertical="center"/>
    </xf>
    <xf numFmtId="49" fontId="1" fillId="3" borderId="6" xfId="0" applyNumberFormat="1" applyFont="1" applyFill="1" applyBorder="1" applyAlignment="1">
      <alignment horizontal="left" vertical="center"/>
    </xf>
    <xf numFmtId="49" fontId="0" fillId="0" borderId="0" xfId="0" applyNumberFormat="1" applyAlignment="1">
      <alignment horizontal="left" vertical="center" wrapText="1"/>
    </xf>
    <xf numFmtId="49" fontId="0" fillId="0" borderId="9" xfId="0" applyNumberFormat="1" applyBorder="1" applyAlignment="1">
      <alignment horizontal="left" vertical="center" wrapText="1"/>
    </xf>
    <xf numFmtId="49" fontId="0" fillId="0" borderId="11" xfId="0" applyNumberFormat="1" applyBorder="1" applyAlignment="1">
      <alignment horizontal="right" vertical="center"/>
    </xf>
    <xf numFmtId="49" fontId="0" fillId="0" borderId="12" xfId="0" applyNumberFormat="1" applyBorder="1" applyAlignment="1">
      <alignment horizontal="right" vertical="center"/>
    </xf>
    <xf numFmtId="49" fontId="1" fillId="2" borderId="13"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0" fillId="5" borderId="2" xfId="0" applyNumberFormat="1" applyFill="1" applyBorder="1" applyAlignment="1" applyProtection="1">
      <alignment horizontal="center" vertical="center"/>
      <protection locked="0"/>
    </xf>
    <xf numFmtId="49" fontId="0" fillId="5" borderId="3" xfId="0" applyNumberFormat="1" applyFill="1" applyBorder="1" applyAlignment="1" applyProtection="1">
      <alignment horizontal="center" vertical="center"/>
      <protection locked="0"/>
    </xf>
    <xf numFmtId="49" fontId="0" fillId="5" borderId="4" xfId="0" applyNumberFormat="1" applyFill="1" applyBorder="1" applyAlignment="1" applyProtection="1">
      <alignment horizontal="center" vertical="center"/>
      <protection locked="0"/>
    </xf>
    <xf numFmtId="165" fontId="0" fillId="5" borderId="4" xfId="0" applyNumberFormat="1" applyFill="1" applyBorder="1" applyAlignment="1" applyProtection="1">
      <alignment horizontal="right" vertical="center"/>
      <protection locked="0"/>
    </xf>
    <xf numFmtId="165" fontId="0" fillId="5" borderId="1" xfId="0" applyNumberFormat="1" applyFill="1" applyBorder="1" applyAlignment="1" applyProtection="1">
      <alignment horizontal="right" vertical="center"/>
      <protection locked="0"/>
    </xf>
    <xf numFmtId="49" fontId="0" fillId="0" borderId="9"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165" fontId="0" fillId="5" borderId="13" xfId="0" applyNumberFormat="1" applyFill="1" applyBorder="1" applyAlignment="1" applyProtection="1">
      <alignment horizontal="center" vertical="center"/>
      <protection locked="0"/>
    </xf>
    <xf numFmtId="165" fontId="0" fillId="5" borderId="14" xfId="0" applyNumberFormat="1" applyFill="1" applyBorder="1" applyAlignment="1" applyProtection="1">
      <alignment horizontal="center" vertical="center"/>
      <protection locked="0"/>
    </xf>
    <xf numFmtId="165" fontId="0" fillId="5" borderId="15" xfId="0" applyNumberFormat="1" applyFill="1" applyBorder="1" applyAlignment="1" applyProtection="1">
      <alignment horizontal="center" vertical="center"/>
      <protection locked="0"/>
    </xf>
    <xf numFmtId="49" fontId="10" fillId="12" borderId="5" xfId="0" applyNumberFormat="1" applyFont="1" applyFill="1" applyBorder="1" applyAlignment="1">
      <alignment horizontal="left" vertical="center" wrapText="1"/>
    </xf>
    <xf numFmtId="49" fontId="10" fillId="12" borderId="6" xfId="0" applyNumberFormat="1" applyFont="1" applyFill="1" applyBorder="1" applyAlignment="1">
      <alignment horizontal="left" vertical="center" wrapText="1"/>
    </xf>
    <xf numFmtId="49" fontId="10" fillId="12" borderId="7" xfId="0" applyNumberFormat="1" applyFont="1" applyFill="1" applyBorder="1" applyAlignment="1">
      <alignment horizontal="left" vertical="center" wrapText="1"/>
    </xf>
    <xf numFmtId="49" fontId="10" fillId="12" borderId="10" xfId="0" applyNumberFormat="1" applyFont="1" applyFill="1" applyBorder="1" applyAlignment="1">
      <alignment horizontal="left" vertical="center" wrapText="1"/>
    </xf>
    <xf numFmtId="49" fontId="10" fillId="12" borderId="11" xfId="0" applyNumberFormat="1" applyFont="1" applyFill="1" applyBorder="1" applyAlignment="1">
      <alignment horizontal="left" vertical="center" wrapText="1"/>
    </xf>
    <xf numFmtId="49" fontId="10" fillId="12" borderId="12" xfId="0" applyNumberFormat="1" applyFont="1" applyFill="1" applyBorder="1" applyAlignment="1">
      <alignment horizontal="left" vertical="center" wrapText="1"/>
    </xf>
    <xf numFmtId="165" fontId="0" fillId="5" borderId="13" xfId="0" applyNumberFormat="1" applyFill="1" applyBorder="1" applyAlignment="1" applyProtection="1">
      <alignment horizontal="right" vertical="center"/>
      <protection locked="0"/>
    </xf>
    <xf numFmtId="165" fontId="0" fillId="5" borderId="15" xfId="0" applyNumberFormat="1" applyFill="1" applyBorder="1" applyAlignment="1" applyProtection="1">
      <alignment horizontal="right" vertical="center"/>
      <protection locked="0"/>
    </xf>
    <xf numFmtId="0" fontId="0" fillId="0" borderId="0" xfId="0" applyAlignment="1">
      <alignment horizontal="left" vertical="center"/>
    </xf>
    <xf numFmtId="0" fontId="0" fillId="0" borderId="6" xfId="0" applyBorder="1" applyAlignment="1">
      <alignment horizontal="left" vertical="center"/>
    </xf>
    <xf numFmtId="5" fontId="0" fillId="0" borderId="1" xfId="0" applyNumberFormat="1" applyBorder="1" applyAlignment="1">
      <alignment horizontal="center"/>
    </xf>
    <xf numFmtId="37" fontId="0" fillId="0" borderId="1" xfId="0" applyNumberFormat="1" applyBorder="1" applyAlignment="1">
      <alignment horizontal="center"/>
    </xf>
    <xf numFmtId="49" fontId="6" fillId="4" borderId="1" xfId="0" applyNumberFormat="1" applyFont="1" applyFill="1" applyBorder="1" applyAlignment="1">
      <alignment horizontal="center" vertical="center"/>
    </xf>
    <xf numFmtId="164" fontId="0" fillId="0" borderId="1" xfId="0" applyNumberFormat="1" applyBorder="1" applyAlignment="1">
      <alignment horizontal="center"/>
    </xf>
    <xf numFmtId="164"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49" fontId="1" fillId="0" borderId="11" xfId="0" applyNumberFormat="1" applyFont="1" applyBorder="1" applyAlignment="1">
      <alignment horizontal="left"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9" xfId="0" applyFont="1" applyFill="1" applyBorder="1" applyAlignment="1">
      <alignment horizontal="center"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49" fontId="6" fillId="4" borderId="5"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1"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165" fontId="0" fillId="0" borderId="1" xfId="0" applyNumberFormat="1" applyBorder="1" applyAlignment="1">
      <alignment horizontal="center"/>
    </xf>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42" fontId="0" fillId="5" borderId="1" xfId="0" applyNumberFormat="1" applyFill="1" applyBorder="1" applyAlignment="1" applyProtection="1">
      <alignment horizontal="center" vertical="center"/>
      <protection locked="0"/>
    </xf>
    <xf numFmtId="42" fontId="0" fillId="0" borderId="1"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2" fontId="0" fillId="0" borderId="13" xfId="0" applyNumberFormat="1" applyBorder="1" applyAlignment="1">
      <alignment horizontal="center" vertical="center"/>
    </xf>
    <xf numFmtId="42" fontId="0" fillId="0" borderId="14" xfId="0" applyNumberFormat="1" applyBorder="1" applyAlignment="1">
      <alignment horizontal="center" vertical="center"/>
    </xf>
    <xf numFmtId="42" fontId="0" fillId="0" borderId="15" xfId="0" applyNumberFormat="1" applyBorder="1" applyAlignment="1">
      <alignment horizontal="center" vertical="center"/>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2" xfId="0" applyNumberFormat="1" applyBorder="1" applyAlignment="1">
      <alignment horizontal="center" vertical="center" wrapText="1"/>
    </xf>
    <xf numFmtId="42" fontId="0" fillId="6" borderId="1" xfId="0" applyNumberFormat="1" applyFill="1" applyBorder="1" applyAlignment="1">
      <alignment horizontal="center" vertical="center"/>
    </xf>
    <xf numFmtId="49" fontId="0" fillId="0" borderId="5" xfId="0" applyNumberFormat="1" applyBorder="1" applyAlignment="1">
      <alignment horizontal="left" vertical="center"/>
    </xf>
    <xf numFmtId="49" fontId="0" fillId="2" borderId="13"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0" borderId="10" xfId="0" applyNumberFormat="1" applyBorder="1" applyAlignment="1">
      <alignment horizontal="left" vertical="center"/>
    </xf>
    <xf numFmtId="42" fontId="0" fillId="5" borderId="2" xfId="0" applyNumberFormat="1" applyFill="1" applyBorder="1" applyAlignment="1" applyProtection="1">
      <alignment horizontal="center" vertical="center"/>
      <protection locked="0"/>
    </xf>
    <xf numFmtId="42" fontId="0" fillId="5" borderId="3" xfId="0" applyNumberFormat="1" applyFill="1" applyBorder="1" applyAlignment="1" applyProtection="1">
      <alignment horizontal="center" vertical="center"/>
      <protection locked="0"/>
    </xf>
    <xf numFmtId="42" fontId="0" fillId="5" borderId="4" xfId="0" applyNumberFormat="1" applyFill="1" applyBorder="1" applyAlignment="1" applyProtection="1">
      <alignment horizontal="center" vertical="center"/>
      <protection locked="0"/>
    </xf>
    <xf numFmtId="49" fontId="0" fillId="5" borderId="1" xfId="0" applyNumberFormat="1" applyFill="1" applyBorder="1" applyAlignment="1" applyProtection="1">
      <alignment horizontal="center" vertical="center"/>
      <protection locked="0"/>
    </xf>
    <xf numFmtId="42" fontId="0" fillId="5" borderId="13" xfId="0" applyNumberFormat="1" applyFill="1" applyBorder="1" applyAlignment="1" applyProtection="1">
      <alignment horizontal="center" vertical="center"/>
      <protection locked="0"/>
    </xf>
    <xf numFmtId="42" fontId="0" fillId="5" borderId="14" xfId="0" applyNumberFormat="1" applyFill="1" applyBorder="1" applyAlignment="1" applyProtection="1">
      <alignment horizontal="center" vertical="center"/>
      <protection locked="0"/>
    </xf>
    <xf numFmtId="42" fontId="0" fillId="5" borderId="15" xfId="0" applyNumberFormat="1" applyFill="1" applyBorder="1" applyAlignment="1" applyProtection="1">
      <alignment horizontal="center" vertical="center"/>
      <protection locked="0"/>
    </xf>
    <xf numFmtId="0" fontId="0" fillId="0" borderId="0" xfId="0" applyAlignment="1">
      <alignment horizontal="left" vertical="center" wrapText="1"/>
    </xf>
    <xf numFmtId="0" fontId="0" fillId="0" borderId="9" xfId="0" applyBorder="1" applyAlignment="1">
      <alignment horizontal="left"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49" fontId="0" fillId="2" borderId="7"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10" xfId="0" applyNumberFormat="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7" xfId="0" applyFont="1" applyBorder="1" applyAlignment="1">
      <alignment horizontal="left" vertical="center" wrapText="1"/>
    </xf>
    <xf numFmtId="0" fontId="9" fillId="0" borderId="22"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1" fontId="0" fillId="5" borderId="1" xfId="0" applyNumberFormat="1" applyFill="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1" fontId="0" fillId="3" borderId="5"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10" xfId="0" applyNumberFormat="1" applyFill="1" applyBorder="1" applyAlignment="1">
      <alignment horizontal="center" vertical="center"/>
    </xf>
    <xf numFmtId="1" fontId="0" fillId="3" borderId="11" xfId="0" applyNumberFormat="1" applyFill="1" applyBorder="1" applyAlignment="1">
      <alignment horizontal="center" vertical="center"/>
    </xf>
    <xf numFmtId="1" fontId="0" fillId="3" borderId="12" xfId="0" applyNumberFormat="1" applyFill="1" applyBorder="1" applyAlignment="1">
      <alignment horizontal="center" vertical="center"/>
    </xf>
    <xf numFmtId="164" fontId="0" fillId="3" borderId="5" xfId="0" applyNumberFormat="1" applyFill="1" applyBorder="1" applyAlignment="1">
      <alignment horizontal="center" vertical="center"/>
    </xf>
    <xf numFmtId="164" fontId="0" fillId="3" borderId="6" xfId="0" applyNumberFormat="1" applyFill="1" applyBorder="1" applyAlignment="1">
      <alignment horizontal="center" vertical="center"/>
    </xf>
    <xf numFmtId="164" fontId="0" fillId="3" borderId="7" xfId="0" applyNumberFormat="1" applyFill="1" applyBorder="1" applyAlignment="1">
      <alignment horizontal="center" vertical="center"/>
    </xf>
    <xf numFmtId="164" fontId="0" fillId="3" borderId="10" xfId="0" applyNumberFormat="1" applyFill="1" applyBorder="1" applyAlignment="1">
      <alignment horizontal="center" vertical="center"/>
    </xf>
    <xf numFmtId="164" fontId="0" fillId="3" borderId="11" xfId="0" applyNumberFormat="1" applyFill="1" applyBorder="1" applyAlignment="1">
      <alignment horizontal="center" vertical="center"/>
    </xf>
    <xf numFmtId="164" fontId="0" fillId="3" borderId="12" xfId="0" applyNumberFormat="1" applyFill="1" applyBorder="1" applyAlignment="1">
      <alignment horizontal="center" vertical="center"/>
    </xf>
    <xf numFmtId="49" fontId="0" fillId="5" borderId="1" xfId="0" applyNumberFormat="1"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164" fontId="0" fillId="0" borderId="1" xfId="0" applyNumberFormat="1" applyBorder="1" applyAlignment="1">
      <alignment horizontal="right"/>
    </xf>
    <xf numFmtId="164" fontId="0" fillId="0" borderId="2" xfId="0" applyNumberFormat="1"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 fontId="0" fillId="0" borderId="1" xfId="0" applyNumberFormat="1" applyBorder="1" applyAlignment="1">
      <alignment horizontal="center"/>
    </xf>
    <xf numFmtId="49" fontId="10" fillId="11" borderId="2" xfId="0" applyNumberFormat="1" applyFont="1" applyFill="1" applyBorder="1" applyAlignment="1">
      <alignment horizontal="center" vertical="center" wrapText="1"/>
    </xf>
    <xf numFmtId="49" fontId="10" fillId="11" borderId="3" xfId="0" applyNumberFormat="1" applyFont="1" applyFill="1" applyBorder="1" applyAlignment="1">
      <alignment horizontal="center" vertical="center" wrapText="1"/>
    </xf>
    <xf numFmtId="49" fontId="10" fillId="11" borderId="4"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xf>
    <xf numFmtId="49" fontId="10" fillId="11" borderId="5" xfId="0" applyNumberFormat="1" applyFont="1" applyFill="1" applyBorder="1" applyAlignment="1">
      <alignment horizontal="center" vertical="center" wrapText="1"/>
    </xf>
    <xf numFmtId="49" fontId="10" fillId="11" borderId="6" xfId="0" applyNumberFormat="1" applyFont="1" applyFill="1" applyBorder="1" applyAlignment="1">
      <alignment horizontal="center" vertical="center" wrapText="1"/>
    </xf>
    <xf numFmtId="49" fontId="10" fillId="11" borderId="7" xfId="0" applyNumberFormat="1" applyFont="1" applyFill="1" applyBorder="1" applyAlignment="1">
      <alignment horizontal="center" vertical="center" wrapText="1"/>
    </xf>
    <xf numFmtId="49" fontId="10" fillId="11" borderId="10" xfId="0" applyNumberFormat="1" applyFont="1" applyFill="1" applyBorder="1" applyAlignment="1">
      <alignment horizontal="center" vertical="center" wrapText="1"/>
    </xf>
    <xf numFmtId="49" fontId="10" fillId="11" borderId="11" xfId="0" applyNumberFormat="1" applyFont="1" applyFill="1" applyBorder="1" applyAlignment="1">
      <alignment horizontal="center" vertical="center" wrapText="1"/>
    </xf>
    <xf numFmtId="49" fontId="10" fillId="11" borderId="12" xfId="0" applyNumberFormat="1" applyFont="1" applyFill="1" applyBorder="1" applyAlignment="1">
      <alignment horizontal="center" vertical="center" wrapText="1"/>
    </xf>
    <xf numFmtId="0" fontId="1" fillId="0" borderId="23" xfId="0" applyFont="1" applyBorder="1" applyAlignment="1">
      <alignment horizontal="center"/>
    </xf>
    <xf numFmtId="49" fontId="10" fillId="11" borderId="5" xfId="0" applyNumberFormat="1" applyFont="1" applyFill="1" applyBorder="1" applyAlignment="1">
      <alignment horizontal="center" vertical="center"/>
    </xf>
    <xf numFmtId="49" fontId="10" fillId="11" borderId="6" xfId="0" applyNumberFormat="1" applyFont="1" applyFill="1" applyBorder="1" applyAlignment="1">
      <alignment horizontal="center" vertical="center"/>
    </xf>
    <xf numFmtId="49" fontId="10" fillId="11" borderId="7" xfId="0" applyNumberFormat="1" applyFont="1" applyFill="1" applyBorder="1" applyAlignment="1">
      <alignment horizontal="center" vertical="center"/>
    </xf>
    <xf numFmtId="49" fontId="10" fillId="11" borderId="10" xfId="0" applyNumberFormat="1" applyFont="1" applyFill="1" applyBorder="1" applyAlignment="1">
      <alignment horizontal="center" vertical="center"/>
    </xf>
    <xf numFmtId="49" fontId="10" fillId="11" borderId="11" xfId="0" applyNumberFormat="1" applyFont="1" applyFill="1" applyBorder="1" applyAlignment="1">
      <alignment horizontal="center" vertical="center"/>
    </xf>
    <xf numFmtId="49" fontId="10" fillId="11" borderId="12" xfId="0" applyNumberFormat="1" applyFont="1" applyFill="1" applyBorder="1" applyAlignment="1">
      <alignment horizontal="center" vertical="center"/>
    </xf>
    <xf numFmtId="49" fontId="10" fillId="4" borderId="2"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49" fontId="10" fillId="4" borderId="5" xfId="0" applyNumberFormat="1" applyFont="1" applyFill="1" applyBorder="1" applyAlignment="1">
      <alignment horizontal="center" vertical="center" wrapText="1"/>
    </xf>
    <xf numFmtId="49" fontId="10" fillId="4" borderId="6"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49" fontId="10" fillId="4" borderId="11" xfId="0" applyNumberFormat="1"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1" fillId="0" borderId="1" xfId="0" applyFont="1" applyBorder="1" applyAlignment="1">
      <alignment horizontal="center" vertical="center"/>
    </xf>
    <xf numFmtId="167" fontId="0" fillId="9" borderId="1" xfId="0" applyNumberFormat="1" applyFill="1" applyBorder="1" applyAlignment="1">
      <alignment horizontal="center" vertical="center"/>
    </xf>
    <xf numFmtId="164" fontId="0" fillId="9" borderId="1" xfId="0" applyNumberFormat="1" applyFill="1" applyBorder="1" applyAlignment="1">
      <alignment horizontal="center" vertical="center"/>
    </xf>
    <xf numFmtId="167" fontId="0" fillId="5" borderId="1" xfId="0" applyNumberFormat="1" applyFill="1" applyBorder="1" applyAlignment="1" applyProtection="1">
      <alignment horizontal="center" vertical="center"/>
      <protection locked="0"/>
    </xf>
    <xf numFmtId="164" fontId="0" fillId="3" borderId="1" xfId="0" applyNumberFormat="1" applyFill="1" applyBorder="1" applyAlignment="1">
      <alignment horizontal="center" vertical="center" wrapText="1"/>
    </xf>
    <xf numFmtId="0" fontId="0" fillId="5" borderId="1" xfId="0" applyFill="1" applyBorder="1" applyAlignment="1" applyProtection="1">
      <alignment horizontal="center" vertical="center"/>
      <protection locked="0"/>
    </xf>
    <xf numFmtId="1" fontId="0" fillId="3" borderId="1" xfId="0" applyNumberFormat="1"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1" fillId="0" borderId="1" xfId="0" applyFont="1" applyBorder="1" applyAlignment="1">
      <alignment horizontal="center"/>
    </xf>
    <xf numFmtId="166" fontId="0" fillId="8" borderId="1" xfId="0" applyNumberFormat="1" applyFill="1" applyBorder="1" applyAlignment="1">
      <alignment horizontal="center" vertical="center"/>
    </xf>
    <xf numFmtId="166" fontId="0" fillId="8" borderId="2" xfId="0" applyNumberFormat="1" applyFill="1" applyBorder="1" applyAlignment="1">
      <alignment horizontal="center" vertical="center"/>
    </xf>
    <xf numFmtId="166" fontId="0" fillId="8" borderId="3" xfId="0" applyNumberFormat="1" applyFill="1" applyBorder="1" applyAlignment="1">
      <alignment horizontal="center" vertical="center"/>
    </xf>
    <xf numFmtId="166" fontId="0" fillId="8" borderId="4" xfId="0" applyNumberFormat="1" applyFill="1" applyBorder="1" applyAlignment="1">
      <alignment horizontal="center" vertical="center"/>
    </xf>
    <xf numFmtId="166" fontId="0" fillId="7" borderId="2" xfId="0" applyNumberFormat="1" applyFill="1" applyBorder="1" applyAlignment="1">
      <alignment horizontal="center" vertical="center"/>
    </xf>
    <xf numFmtId="166" fontId="0" fillId="7" borderId="3" xfId="0" applyNumberFormat="1" applyFill="1" applyBorder="1" applyAlignment="1">
      <alignment horizontal="center" vertical="center"/>
    </xf>
    <xf numFmtId="166" fontId="0" fillId="7" borderId="4" xfId="0" applyNumberFormat="1" applyFill="1" applyBorder="1" applyAlignment="1">
      <alignment horizontal="center" vertical="center"/>
    </xf>
    <xf numFmtId="166" fontId="0" fillId="5" borderId="1" xfId="0" applyNumberFormat="1" applyFill="1" applyBorder="1" applyAlignment="1">
      <alignment horizontal="center" vertical="center"/>
    </xf>
    <xf numFmtId="166" fontId="0" fillId="7" borderId="1" xfId="0" applyNumberFormat="1" applyFill="1" applyBorder="1" applyAlignment="1">
      <alignment horizontal="center" vertical="center"/>
    </xf>
    <xf numFmtId="166" fontId="0" fillId="5" borderId="2" xfId="0" applyNumberFormat="1" applyFill="1" applyBorder="1" applyAlignment="1">
      <alignment horizontal="center" vertical="center"/>
    </xf>
    <xf numFmtId="166" fontId="0" fillId="5" borderId="3" xfId="0" applyNumberFormat="1" applyFill="1" applyBorder="1" applyAlignment="1">
      <alignment horizontal="center" vertical="center"/>
    </xf>
    <xf numFmtId="166" fontId="0" fillId="5" borderId="4" xfId="0" applyNumberFormat="1" applyFill="1" applyBorder="1" applyAlignment="1">
      <alignment horizontal="center" vertical="center"/>
    </xf>
    <xf numFmtId="166" fontId="0" fillId="9" borderId="1" xfId="0" applyNumberFormat="1" applyFill="1" applyBorder="1" applyAlignment="1">
      <alignment horizontal="center" vertical="center"/>
    </xf>
    <xf numFmtId="167" fontId="0" fillId="8" borderId="1" xfId="0" applyNumberFormat="1" applyFill="1" applyBorder="1" applyAlignment="1">
      <alignment horizontal="center" vertical="center"/>
    </xf>
    <xf numFmtId="167" fontId="0" fillId="7" borderId="2" xfId="0" applyNumberFormat="1" applyFill="1" applyBorder="1" applyAlignment="1">
      <alignment horizontal="center" vertical="center"/>
    </xf>
    <xf numFmtId="167" fontId="0" fillId="7" borderId="3" xfId="0" applyNumberFormat="1" applyFill="1" applyBorder="1" applyAlignment="1">
      <alignment horizontal="center" vertical="center"/>
    </xf>
    <xf numFmtId="167" fontId="0" fillId="7" borderId="4" xfId="0" applyNumberFormat="1" applyFill="1" applyBorder="1" applyAlignment="1">
      <alignment horizontal="center" vertical="center"/>
    </xf>
    <xf numFmtId="167" fontId="0" fillId="7" borderId="1" xfId="0" applyNumberFormat="1" applyFill="1" applyBorder="1" applyAlignment="1">
      <alignment horizontal="center"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0" xfId="0" applyFill="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0" xfId="0" applyFill="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0" xfId="0" applyFill="1" applyAlignment="1">
      <alignment horizontal="center" vertical="center"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167" fontId="0" fillId="5" borderId="1" xfId="0" applyNumberFormat="1" applyFill="1" applyBorder="1" applyAlignment="1">
      <alignment horizontal="center" vertical="center"/>
    </xf>
    <xf numFmtId="0" fontId="0" fillId="5" borderId="1" xfId="0"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xf>
    <xf numFmtId="1" fontId="0" fillId="5" borderId="1" xfId="0" applyNumberFormat="1" applyFill="1" applyBorder="1" applyAlignment="1" applyProtection="1">
      <alignment horizontal="center" vertical="center"/>
      <protection locked="0"/>
    </xf>
  </cellXfs>
  <cellStyles count="1">
    <cellStyle name="Normal" xfId="0" builtinId="0"/>
  </cellStyles>
  <dxfs count="3">
    <dxf>
      <font>
        <color theme="0"/>
      </font>
      <fill>
        <patternFill>
          <bgColor rgb="FFC00000"/>
        </patternFill>
      </fill>
    </dxf>
    <dxf>
      <font>
        <color theme="0"/>
      </font>
      <fill>
        <patternFill>
          <bgColor rgb="FFC00000"/>
        </patternFill>
      </fill>
    </dxf>
    <dxf>
      <font>
        <strike val="0"/>
        <color theme="0"/>
      </font>
      <fill>
        <patternFill>
          <bgColor rgb="FFC0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380B-B1B4-424F-8424-7C0DB1E88F07}">
  <sheetPr>
    <tabColor theme="4" tint="0.79998168889431442"/>
    <pageSetUpPr fitToPage="1"/>
  </sheetPr>
  <dimension ref="B2:BI133"/>
  <sheetViews>
    <sheetView showGridLines="0" showRowColHeaders="0" tabSelected="1" zoomScaleNormal="100" workbookViewId="0">
      <selection activeCell="AI7" sqref="AI7:AI10"/>
    </sheetView>
  </sheetViews>
  <sheetFormatPr defaultColWidth="3.453125" defaultRowHeight="14.5" x14ac:dyDescent="0.35"/>
  <cols>
    <col min="1" max="33" width="3.453125" style="2"/>
    <col min="34" max="34" width="7.08984375" style="1" customWidth="1"/>
    <col min="35" max="35" width="19" style="3" customWidth="1"/>
    <col min="36" max="16384" width="3.453125" style="2"/>
  </cols>
  <sheetData>
    <row r="2" spans="2:61" ht="14.4" customHeight="1" x14ac:dyDescent="0.35">
      <c r="B2" s="103" t="s">
        <v>147</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row>
    <row r="3" spans="2:61" ht="14.4" customHeight="1" x14ac:dyDescent="0.35">
      <c r="B3" s="104" t="s">
        <v>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2:61" x14ac:dyDescent="0.35">
      <c r="B4" s="92" t="s">
        <v>185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row>
    <row r="5" spans="2:61" ht="18.5" x14ac:dyDescent="0.35">
      <c r="B5" s="99" t="s">
        <v>1</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1"/>
    </row>
    <row r="6" spans="2:61" x14ac:dyDescent="0.35">
      <c r="B6" s="122" t="s">
        <v>2</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0"/>
      <c r="AI6" s="121"/>
      <c r="AJ6" s="82" t="s">
        <v>349</v>
      </c>
      <c r="AK6" s="83"/>
      <c r="AL6" s="83"/>
      <c r="AM6" s="83"/>
      <c r="AN6" s="83"/>
      <c r="AO6" s="83"/>
      <c r="AP6" s="83"/>
      <c r="AQ6" s="83"/>
      <c r="AR6" s="83"/>
      <c r="AS6" s="83"/>
      <c r="AT6" s="83"/>
      <c r="AU6" s="83"/>
      <c r="AV6" s="83"/>
      <c r="AW6" s="83"/>
      <c r="AX6" s="83"/>
      <c r="AY6" s="83"/>
      <c r="AZ6" s="83"/>
      <c r="BA6" s="83"/>
      <c r="BB6" s="83"/>
      <c r="BC6" s="83"/>
      <c r="BD6" s="83"/>
      <c r="BE6" s="83"/>
      <c r="BF6" s="83"/>
      <c r="BG6" s="83"/>
      <c r="BH6" s="83"/>
      <c r="BI6" s="84"/>
    </row>
    <row r="7" spans="2:61" x14ac:dyDescent="0.35">
      <c r="B7" s="20"/>
      <c r="C7" s="21"/>
      <c r="D7" s="22" t="s">
        <v>3</v>
      </c>
      <c r="E7" s="96" t="s">
        <v>70</v>
      </c>
      <c r="F7" s="96"/>
      <c r="G7" s="96"/>
      <c r="H7" s="96"/>
      <c r="I7" s="96"/>
      <c r="J7" s="96"/>
      <c r="K7" s="96"/>
      <c r="L7" s="96"/>
      <c r="M7" s="96"/>
      <c r="N7" s="96"/>
      <c r="O7" s="96"/>
      <c r="P7" s="96"/>
      <c r="Q7" s="96"/>
      <c r="R7" s="96"/>
      <c r="S7" s="96"/>
      <c r="T7" s="96"/>
      <c r="U7" s="96"/>
      <c r="V7" s="96"/>
      <c r="W7" s="96"/>
      <c r="X7" s="96"/>
      <c r="Y7" s="97"/>
      <c r="Z7" s="109" t="s">
        <v>297</v>
      </c>
      <c r="AA7" s="110"/>
      <c r="AB7" s="110"/>
      <c r="AC7" s="110"/>
      <c r="AD7" s="110"/>
      <c r="AE7" s="110"/>
      <c r="AF7" s="110"/>
      <c r="AG7" s="111"/>
      <c r="AH7" s="128"/>
      <c r="AI7" s="138">
        <v>70000</v>
      </c>
      <c r="AJ7" s="73" t="s">
        <v>343</v>
      </c>
      <c r="AK7" s="74"/>
      <c r="AL7" s="74"/>
      <c r="AM7" s="74"/>
      <c r="AN7" s="74"/>
      <c r="AO7" s="74"/>
      <c r="AP7" s="74"/>
      <c r="AQ7" s="74"/>
      <c r="AR7" s="74"/>
      <c r="AS7" s="74"/>
      <c r="AT7" s="74"/>
      <c r="AU7" s="74"/>
      <c r="AV7" s="74"/>
      <c r="AW7" s="74"/>
      <c r="AX7" s="74"/>
      <c r="AY7" s="74"/>
      <c r="AZ7" s="74"/>
      <c r="BA7" s="74"/>
      <c r="BB7" s="74"/>
      <c r="BC7" s="74"/>
      <c r="BD7" s="74"/>
      <c r="BE7" s="74"/>
      <c r="BF7" s="74"/>
      <c r="BG7" s="74"/>
      <c r="BH7" s="74"/>
      <c r="BI7" s="75"/>
    </row>
    <row r="8" spans="2:61" x14ac:dyDescent="0.35">
      <c r="B8" s="23"/>
      <c r="C8" s="24"/>
      <c r="E8" s="25"/>
      <c r="F8" s="94"/>
      <c r="G8" s="94"/>
      <c r="H8" s="94"/>
      <c r="I8" s="94"/>
      <c r="J8" s="94"/>
      <c r="K8" s="94"/>
      <c r="L8" s="94"/>
      <c r="M8" s="94"/>
      <c r="N8" s="94"/>
      <c r="O8" s="94"/>
      <c r="P8" s="94"/>
      <c r="Q8" s="94"/>
      <c r="R8" s="94"/>
      <c r="S8" s="94"/>
      <c r="T8" s="94"/>
      <c r="U8" s="94"/>
      <c r="V8" s="94"/>
      <c r="W8" s="94"/>
      <c r="X8" s="94"/>
      <c r="Y8" s="95"/>
      <c r="Z8" s="130" t="s">
        <v>298</v>
      </c>
      <c r="AA8" s="131"/>
      <c r="AB8" s="131"/>
      <c r="AC8" s="131"/>
      <c r="AD8" s="131"/>
      <c r="AE8" s="131"/>
      <c r="AF8" s="131"/>
      <c r="AG8" s="132"/>
      <c r="AH8" s="129"/>
      <c r="AI8" s="139"/>
      <c r="AJ8" s="76"/>
      <c r="AK8" s="77"/>
      <c r="AL8" s="77"/>
      <c r="AM8" s="77"/>
      <c r="AN8" s="77"/>
      <c r="AO8" s="77"/>
      <c r="AP8" s="77"/>
      <c r="AQ8" s="77"/>
      <c r="AR8" s="77"/>
      <c r="AS8" s="77"/>
      <c r="AT8" s="77"/>
      <c r="AU8" s="77"/>
      <c r="AV8" s="77"/>
      <c r="AW8" s="77"/>
      <c r="AX8" s="77"/>
      <c r="AY8" s="77"/>
      <c r="AZ8" s="77"/>
      <c r="BA8" s="77"/>
      <c r="BB8" s="77"/>
      <c r="BC8" s="77"/>
      <c r="BD8" s="77"/>
      <c r="BE8" s="77"/>
      <c r="BF8" s="77"/>
      <c r="BG8" s="77"/>
      <c r="BH8" s="77"/>
      <c r="BI8" s="78"/>
    </row>
    <row r="9" spans="2:61" x14ac:dyDescent="0.35">
      <c r="B9" s="23"/>
      <c r="C9" s="24"/>
      <c r="F9" s="102"/>
      <c r="G9" s="102"/>
      <c r="H9" s="102"/>
      <c r="I9" s="102"/>
      <c r="J9" s="102"/>
      <c r="K9" s="102"/>
      <c r="L9" s="102"/>
      <c r="M9" s="102"/>
      <c r="N9" s="102"/>
      <c r="O9" s="102"/>
      <c r="P9" s="102"/>
      <c r="Q9" s="135"/>
      <c r="R9" s="111" t="s">
        <v>311</v>
      </c>
      <c r="S9" s="98"/>
      <c r="T9" s="98"/>
      <c r="U9" s="98"/>
      <c r="V9" s="98"/>
      <c r="W9" s="98"/>
      <c r="X9" s="98"/>
      <c r="Y9" s="98"/>
      <c r="Z9" s="98" t="s">
        <v>312</v>
      </c>
      <c r="AA9" s="98"/>
      <c r="AB9" s="98"/>
      <c r="AC9" s="98"/>
      <c r="AD9" s="98"/>
      <c r="AE9" s="98"/>
      <c r="AF9" s="98"/>
      <c r="AG9" s="98"/>
      <c r="AH9" s="27"/>
      <c r="AI9" s="139"/>
      <c r="AJ9" s="76"/>
      <c r="AK9" s="77"/>
      <c r="AL9" s="77"/>
      <c r="AM9" s="77"/>
      <c r="AN9" s="77"/>
      <c r="AO9" s="77"/>
      <c r="AP9" s="77"/>
      <c r="AQ9" s="77"/>
      <c r="AR9" s="77"/>
      <c r="AS9" s="77"/>
      <c r="AT9" s="77"/>
      <c r="AU9" s="77"/>
      <c r="AV9" s="77"/>
      <c r="AW9" s="77"/>
      <c r="AX9" s="77"/>
      <c r="AY9" s="77"/>
      <c r="AZ9" s="77"/>
      <c r="BA9" s="77"/>
      <c r="BB9" s="77"/>
      <c r="BC9" s="77"/>
      <c r="BD9" s="77"/>
      <c r="BE9" s="77"/>
      <c r="BF9" s="77"/>
      <c r="BG9" s="77"/>
      <c r="BH9" s="77"/>
      <c r="BI9" s="78"/>
    </row>
    <row r="10" spans="2:61" x14ac:dyDescent="0.35">
      <c r="B10" s="29"/>
      <c r="C10" s="19"/>
      <c r="D10" s="30"/>
      <c r="E10" s="30"/>
      <c r="F10" s="136"/>
      <c r="G10" s="136"/>
      <c r="H10" s="136"/>
      <c r="I10" s="136"/>
      <c r="J10" s="136"/>
      <c r="K10" s="136"/>
      <c r="L10" s="136"/>
      <c r="M10" s="136"/>
      <c r="N10" s="136"/>
      <c r="O10" s="136"/>
      <c r="P10" s="136"/>
      <c r="Q10" s="137"/>
      <c r="R10" s="133">
        <v>70000</v>
      </c>
      <c r="S10" s="134"/>
      <c r="T10" s="134"/>
      <c r="U10" s="134"/>
      <c r="V10" s="134"/>
      <c r="W10" s="134"/>
      <c r="X10" s="134"/>
      <c r="Y10" s="134"/>
      <c r="Z10" s="134"/>
      <c r="AA10" s="134"/>
      <c r="AB10" s="134"/>
      <c r="AC10" s="134"/>
      <c r="AD10" s="134"/>
      <c r="AE10" s="134"/>
      <c r="AF10" s="134"/>
      <c r="AG10" s="134"/>
      <c r="AH10" s="27"/>
      <c r="AI10" s="140"/>
      <c r="AJ10" s="79"/>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1"/>
    </row>
    <row r="11" spans="2:61" x14ac:dyDescent="0.35">
      <c r="B11" s="29"/>
      <c r="C11" s="19"/>
      <c r="D11" s="19" t="s">
        <v>4</v>
      </c>
      <c r="E11" s="92" t="s">
        <v>71</v>
      </c>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3"/>
      <c r="AH11" s="28" t="s">
        <v>135</v>
      </c>
      <c r="AI11" s="41"/>
      <c r="AJ11" s="70" t="s">
        <v>346</v>
      </c>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2"/>
    </row>
    <row r="12" spans="2:61" x14ac:dyDescent="0.35">
      <c r="B12" s="31"/>
      <c r="C12" s="32"/>
      <c r="D12" s="32" t="s">
        <v>5</v>
      </c>
      <c r="E12" s="86" t="s">
        <v>72</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7"/>
      <c r="AH12" s="28" t="s">
        <v>135</v>
      </c>
      <c r="AI12" s="41"/>
      <c r="AJ12" s="70" t="s">
        <v>347</v>
      </c>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2"/>
    </row>
    <row r="13" spans="2:61" x14ac:dyDescent="0.35">
      <c r="B13" s="31"/>
      <c r="C13" s="32"/>
      <c r="D13" s="32" t="s">
        <v>6</v>
      </c>
      <c r="E13" s="86" t="s">
        <v>73</v>
      </c>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c r="AH13" s="28" t="s">
        <v>135</v>
      </c>
      <c r="AI13" s="41"/>
      <c r="AJ13" s="70" t="s">
        <v>344</v>
      </c>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2"/>
    </row>
    <row r="14" spans="2:61" x14ac:dyDescent="0.35">
      <c r="B14" s="31"/>
      <c r="C14" s="32"/>
      <c r="D14" s="32" t="s">
        <v>7</v>
      </c>
      <c r="E14" s="86" t="s">
        <v>74</v>
      </c>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7"/>
      <c r="AH14" s="28" t="s">
        <v>135</v>
      </c>
      <c r="AI14" s="41"/>
      <c r="AJ14" s="70" t="s">
        <v>345</v>
      </c>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2"/>
    </row>
    <row r="15" spans="2:61" x14ac:dyDescent="0.35">
      <c r="B15" s="31"/>
      <c r="C15" s="32"/>
      <c r="D15" s="32" t="s">
        <v>8</v>
      </c>
      <c r="E15" s="86" t="s">
        <v>75</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7"/>
      <c r="AH15" s="28" t="s">
        <v>135</v>
      </c>
      <c r="AI15" s="41"/>
      <c r="AJ15" s="70" t="s">
        <v>348</v>
      </c>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2"/>
    </row>
    <row r="16" spans="2:61" x14ac:dyDescent="0.35">
      <c r="B16" s="33"/>
      <c r="C16" s="22" t="s">
        <v>9</v>
      </c>
      <c r="D16" s="96" t="s">
        <v>76</v>
      </c>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7"/>
      <c r="AH16" s="28" t="s">
        <v>136</v>
      </c>
      <c r="AI16" s="42">
        <f>ROUND(SUM(AI7:AI15),0)</f>
        <v>70000</v>
      </c>
    </row>
    <row r="17" spans="2:61" x14ac:dyDescent="0.35">
      <c r="B17" s="119" t="s">
        <v>10</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90"/>
      <c r="AI17" s="91"/>
    </row>
    <row r="18" spans="2:61" x14ac:dyDescent="0.35">
      <c r="B18" s="29"/>
      <c r="C18" s="19"/>
      <c r="D18" s="19" t="s">
        <v>11</v>
      </c>
      <c r="E18" s="92" t="s">
        <v>276</v>
      </c>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3"/>
      <c r="AH18" s="34"/>
      <c r="AI18" s="41"/>
    </row>
    <row r="19" spans="2:61" x14ac:dyDescent="0.35">
      <c r="B19" s="31"/>
      <c r="C19" s="32"/>
      <c r="D19" s="32" t="s">
        <v>12</v>
      </c>
      <c r="E19" s="86" t="s">
        <v>77</v>
      </c>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28" t="s">
        <v>135</v>
      </c>
      <c r="AI19" s="41">
        <v>2500</v>
      </c>
      <c r="AJ19" s="70" t="s">
        <v>447</v>
      </c>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2"/>
    </row>
    <row r="20" spans="2:61" x14ac:dyDescent="0.35">
      <c r="B20" s="31"/>
      <c r="C20" s="32"/>
      <c r="D20" s="32" t="s">
        <v>13</v>
      </c>
      <c r="E20" s="86" t="s">
        <v>78</v>
      </c>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H20" s="28" t="s">
        <v>135</v>
      </c>
      <c r="AI20" s="41"/>
    </row>
    <row r="21" spans="2:61" x14ac:dyDescent="0.35">
      <c r="B21" s="31"/>
      <c r="C21" s="32" t="s">
        <v>14</v>
      </c>
      <c r="D21" s="86" t="s">
        <v>79</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7"/>
      <c r="AH21" s="28" t="s">
        <v>136</v>
      </c>
      <c r="AI21" s="42">
        <f>ROUND(SUM(AI18:AI20),0)</f>
        <v>2500</v>
      </c>
    </row>
    <row r="22" spans="2:61" x14ac:dyDescent="0.35">
      <c r="B22" s="33"/>
      <c r="C22" s="22" t="s">
        <v>15</v>
      </c>
      <c r="D22" s="96" t="s">
        <v>80</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7"/>
      <c r="AH22" s="98" t="s">
        <v>136</v>
      </c>
      <c r="AI22" s="115">
        <f>ROUND(AI16-AI21,0)</f>
        <v>67500</v>
      </c>
    </row>
    <row r="23" spans="2:61" x14ac:dyDescent="0.35">
      <c r="B23" s="23"/>
      <c r="C23" s="24"/>
      <c r="D23" s="35" t="s">
        <v>16</v>
      </c>
      <c r="E23" s="94" t="s">
        <v>81</v>
      </c>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5"/>
      <c r="AH23" s="98"/>
      <c r="AI23" s="115"/>
    </row>
    <row r="24" spans="2:61" x14ac:dyDescent="0.35">
      <c r="B24" s="23"/>
      <c r="C24" s="24"/>
      <c r="D24" s="35" t="s">
        <v>16</v>
      </c>
      <c r="E24" s="94" t="s">
        <v>82</v>
      </c>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5"/>
      <c r="AH24" s="98"/>
      <c r="AI24" s="115"/>
    </row>
    <row r="25" spans="2:61" x14ac:dyDescent="0.35">
      <c r="B25" s="122" t="s">
        <v>17</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90"/>
      <c r="AI25" s="91"/>
    </row>
    <row r="26" spans="2:61" x14ac:dyDescent="0.35">
      <c r="B26" s="31"/>
      <c r="C26" s="32" t="s">
        <v>18</v>
      </c>
      <c r="D26" s="86" t="s">
        <v>83</v>
      </c>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7"/>
      <c r="AH26" s="34"/>
      <c r="AI26" s="41">
        <v>5700</v>
      </c>
      <c r="AJ26" s="70" t="s">
        <v>448</v>
      </c>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2"/>
    </row>
    <row r="27" spans="2:61" x14ac:dyDescent="0.35">
      <c r="B27" s="31"/>
      <c r="C27" s="32" t="s">
        <v>19</v>
      </c>
      <c r="D27" s="86" t="s">
        <v>84</v>
      </c>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c r="AH27" s="34"/>
      <c r="AI27" s="36"/>
    </row>
    <row r="28" spans="2:61" x14ac:dyDescent="0.35">
      <c r="B28" s="31"/>
      <c r="C28" s="32"/>
      <c r="D28" s="32" t="s">
        <v>3</v>
      </c>
      <c r="E28" s="86" t="s">
        <v>85</v>
      </c>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7"/>
      <c r="AH28" s="28" t="s">
        <v>135</v>
      </c>
      <c r="AI28" s="42">
        <f>ROUND(IF(AND(OR(Z8="Married - Filed Separate Return",Z8="Married - Filed Joint Return"),R10+Z10&gt;250000),(250000*0.0145)+((R10+Z10-250000)*0.0235),IF(AND(OR(Z8="Married - Filed Separate Return",Z8="Married - Filed Joint Return"),R10+Z10&lt;250000),(R10+Z10)*0.0145,IF(R10+Z10&gt;200000,(200000*0.0145)+((R10+Z10-200000)*0.0235),(R10+Z10)*0.0145))),3)</f>
        <v>1015</v>
      </c>
    </row>
    <row r="29" spans="2:61" x14ac:dyDescent="0.35">
      <c r="B29" s="31"/>
      <c r="C29" s="32"/>
      <c r="D29" s="32" t="s">
        <v>4</v>
      </c>
      <c r="E29" s="86" t="s">
        <v>86</v>
      </c>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7"/>
      <c r="AH29" s="28" t="s">
        <v>135</v>
      </c>
      <c r="AI29" s="42">
        <f>ROUND(IF(AND(OR(Z8="Married - Filed Joint Return",AND(R10&gt;0,Z10&gt;0)),R10+Z10&gt;294000),18228,IF(OR(Z8="Married - Filed Joint Return",AND(R10&gt;0,Z10&gt;0)),(R10+Z10)*0.062,IF(AND(OR(R10&lt;=0,Z10&lt;=0),R10+Z10&gt;147000),9114,(R10+Z10)*0.062))),3)</f>
        <v>4340</v>
      </c>
    </row>
    <row r="30" spans="2:61" x14ac:dyDescent="0.35">
      <c r="B30" s="33"/>
      <c r="C30" s="22" t="s">
        <v>20</v>
      </c>
      <c r="D30" s="96" t="s">
        <v>87</v>
      </c>
      <c r="E30" s="96"/>
      <c r="F30" s="96"/>
      <c r="G30" s="96"/>
      <c r="H30" s="96"/>
      <c r="I30" s="96"/>
      <c r="J30" s="96"/>
      <c r="K30" s="96"/>
      <c r="L30" s="96"/>
      <c r="M30" s="96"/>
      <c r="N30" s="96"/>
      <c r="O30" s="96"/>
      <c r="P30" s="96"/>
      <c r="Q30" s="96"/>
      <c r="R30" s="96"/>
      <c r="S30" s="96"/>
      <c r="T30" s="96"/>
      <c r="U30" s="96"/>
      <c r="V30" s="96"/>
      <c r="W30" s="96"/>
      <c r="X30" s="96"/>
      <c r="Y30" s="96"/>
      <c r="Z30" s="98" t="s">
        <v>139</v>
      </c>
      <c r="AA30" s="98"/>
      <c r="AB30" s="98"/>
      <c r="AC30" s="98"/>
      <c r="AD30" s="98"/>
      <c r="AE30" s="98"/>
      <c r="AF30" s="98"/>
      <c r="AG30" s="98"/>
      <c r="AH30" s="98" t="s">
        <v>135</v>
      </c>
      <c r="AI30" s="115">
        <f>ROUND(IF(ISBLANK(Z31),0,VLOOKUP(Z31,'Formula A Tables'!B42:AE47,16)),0)</f>
        <v>34350</v>
      </c>
    </row>
    <row r="31" spans="2:61" x14ac:dyDescent="0.35">
      <c r="B31" s="29"/>
      <c r="C31" s="19"/>
      <c r="D31" s="37" t="s">
        <v>16</v>
      </c>
      <c r="E31" s="92" t="s">
        <v>88</v>
      </c>
      <c r="F31" s="92"/>
      <c r="G31" s="92"/>
      <c r="H31" s="92"/>
      <c r="I31" s="92"/>
      <c r="J31" s="92"/>
      <c r="K31" s="92"/>
      <c r="L31" s="92"/>
      <c r="M31" s="92"/>
      <c r="N31" s="92"/>
      <c r="O31" s="92"/>
      <c r="P31" s="92"/>
      <c r="Q31" s="92"/>
      <c r="R31" s="92"/>
      <c r="S31" s="92"/>
      <c r="T31" s="92"/>
      <c r="U31" s="92"/>
      <c r="V31" s="92"/>
      <c r="W31" s="92"/>
      <c r="X31" s="92"/>
      <c r="Y31" s="93"/>
      <c r="Z31" s="112">
        <v>3</v>
      </c>
      <c r="AA31" s="113"/>
      <c r="AB31" s="113"/>
      <c r="AC31" s="113"/>
      <c r="AD31" s="113"/>
      <c r="AE31" s="113"/>
      <c r="AF31" s="113"/>
      <c r="AG31" s="114"/>
      <c r="AH31" s="98"/>
      <c r="AI31" s="115"/>
    </row>
    <row r="32" spans="2:61" x14ac:dyDescent="0.35">
      <c r="B32" s="33"/>
      <c r="C32" s="22" t="s">
        <v>21</v>
      </c>
      <c r="D32" s="96" t="s">
        <v>89</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c r="AH32" s="98" t="s">
        <v>135</v>
      </c>
      <c r="AI32" s="115">
        <f>ROUND(IF(0.35*(R10+Z10)&gt;4730,4730,0.35*(R10+Z10)),0)</f>
        <v>4730</v>
      </c>
    </row>
    <row r="33" spans="2:61" x14ac:dyDescent="0.35">
      <c r="B33" s="23"/>
      <c r="C33" s="24"/>
      <c r="D33" s="35" t="s">
        <v>16</v>
      </c>
      <c r="E33" s="94" t="s">
        <v>90</v>
      </c>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5"/>
      <c r="AH33" s="98"/>
      <c r="AI33" s="115"/>
    </row>
    <row r="34" spans="2:61" x14ac:dyDescent="0.35">
      <c r="B34" s="23"/>
      <c r="C34" s="24"/>
      <c r="D34" s="24"/>
      <c r="E34" s="35" t="s">
        <v>16</v>
      </c>
      <c r="F34" s="94" t="s">
        <v>91</v>
      </c>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5"/>
      <c r="AH34" s="98"/>
      <c r="AI34" s="115"/>
    </row>
    <row r="35" spans="2:61" x14ac:dyDescent="0.35">
      <c r="B35" s="29"/>
      <c r="C35" s="19"/>
      <c r="D35" s="19"/>
      <c r="E35" s="37" t="s">
        <v>16</v>
      </c>
      <c r="F35" s="92" t="s">
        <v>92</v>
      </c>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3"/>
      <c r="AH35" s="98"/>
      <c r="AI35" s="115"/>
    </row>
    <row r="36" spans="2:61" x14ac:dyDescent="0.35">
      <c r="B36" s="31"/>
      <c r="C36" s="32" t="s">
        <v>22</v>
      </c>
      <c r="D36" s="86" t="s">
        <v>93</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7"/>
      <c r="AH36" s="28" t="s">
        <v>136</v>
      </c>
      <c r="AI36" s="42">
        <f>ROUND(SUM(AI26,AI28,AI29,AI30,AI32),0)</f>
        <v>50135</v>
      </c>
    </row>
    <row r="37" spans="2:61" x14ac:dyDescent="0.35">
      <c r="B37" s="88" t="s">
        <v>23</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90"/>
      <c r="AI37" s="91"/>
    </row>
    <row r="38" spans="2:61" x14ac:dyDescent="0.35">
      <c r="B38" s="85" t="s">
        <v>24</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7"/>
      <c r="AH38" s="34"/>
      <c r="AI38" s="42">
        <f>ROUND(AI22,0)</f>
        <v>67500</v>
      </c>
    </row>
    <row r="39" spans="2:61" x14ac:dyDescent="0.35">
      <c r="B39" s="85" t="s">
        <v>25</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7"/>
      <c r="AH39" s="28" t="s">
        <v>137</v>
      </c>
      <c r="AI39" s="42">
        <f>ROUND(AI36,0)</f>
        <v>50135</v>
      </c>
    </row>
    <row r="40" spans="2:61" x14ac:dyDescent="0.35">
      <c r="B40" s="33"/>
      <c r="C40" s="22" t="s">
        <v>26</v>
      </c>
      <c r="D40" s="96" t="s">
        <v>94</v>
      </c>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7"/>
      <c r="AH40" s="98" t="s">
        <v>136</v>
      </c>
      <c r="AI40" s="115">
        <f>ROUND(AI22-AI36,0)</f>
        <v>17365</v>
      </c>
    </row>
    <row r="41" spans="2:61" x14ac:dyDescent="0.35">
      <c r="B41" s="29"/>
      <c r="C41" s="19"/>
      <c r="D41" s="37" t="s">
        <v>16</v>
      </c>
      <c r="E41" s="92" t="s">
        <v>82</v>
      </c>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c r="AH41" s="98"/>
      <c r="AI41" s="115"/>
    </row>
    <row r="42" spans="2:61" x14ac:dyDescent="0.3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row>
    <row r="43" spans="2:61" ht="18.5" x14ac:dyDescent="0.35">
      <c r="B43" s="99" t="s">
        <v>27</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c r="AJ43" s="141" t="s">
        <v>449</v>
      </c>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3"/>
    </row>
    <row r="44" spans="2:61" x14ac:dyDescent="0.35">
      <c r="B44" s="31"/>
      <c r="C44" s="32" t="s">
        <v>28</v>
      </c>
      <c r="D44" s="86" t="s">
        <v>95</v>
      </c>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c r="AH44" s="34"/>
      <c r="AI44" s="41"/>
      <c r="AJ44" s="144"/>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6"/>
    </row>
    <row r="45" spans="2:61" x14ac:dyDescent="0.35">
      <c r="B45" s="31"/>
      <c r="C45" s="32" t="s">
        <v>29</v>
      </c>
      <c r="D45" s="86" t="s">
        <v>96</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7"/>
      <c r="AH45" s="28" t="s">
        <v>135</v>
      </c>
      <c r="AI45" s="41">
        <v>25000</v>
      </c>
    </row>
    <row r="46" spans="2:61" x14ac:dyDescent="0.35">
      <c r="B46" s="33"/>
      <c r="C46" s="22" t="s">
        <v>30</v>
      </c>
      <c r="D46" s="96" t="s">
        <v>97</v>
      </c>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7"/>
      <c r="AH46" s="98" t="s">
        <v>135</v>
      </c>
      <c r="AI46" s="105"/>
    </row>
    <row r="47" spans="2:61" x14ac:dyDescent="0.35">
      <c r="B47" s="23"/>
      <c r="C47" s="24"/>
      <c r="D47" s="35" t="s">
        <v>16</v>
      </c>
      <c r="E47" s="124" t="s">
        <v>98</v>
      </c>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5"/>
      <c r="AH47" s="98"/>
      <c r="AI47" s="105"/>
    </row>
    <row r="48" spans="2:61" x14ac:dyDescent="0.35">
      <c r="B48" s="23"/>
      <c r="C48" s="24"/>
      <c r="D48" s="35"/>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5"/>
      <c r="AH48" s="98"/>
      <c r="AI48" s="105"/>
    </row>
    <row r="49" spans="2:35" x14ac:dyDescent="0.35">
      <c r="B49" s="23"/>
      <c r="C49" s="24"/>
      <c r="D49" s="35"/>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5"/>
      <c r="AH49" s="98"/>
      <c r="AI49" s="105"/>
    </row>
    <row r="50" spans="2:35" x14ac:dyDescent="0.35">
      <c r="B50" s="29"/>
      <c r="C50" s="19"/>
      <c r="D50" s="37" t="s">
        <v>16</v>
      </c>
      <c r="E50" s="92" t="s">
        <v>99</v>
      </c>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3"/>
      <c r="AH50" s="98"/>
      <c r="AI50" s="105"/>
    </row>
    <row r="51" spans="2:35" x14ac:dyDescent="0.35">
      <c r="B51" s="33"/>
      <c r="C51" s="22" t="s">
        <v>31</v>
      </c>
      <c r="D51" s="96" t="s">
        <v>280</v>
      </c>
      <c r="E51" s="96"/>
      <c r="F51" s="96"/>
      <c r="G51" s="96"/>
      <c r="H51" s="96"/>
      <c r="I51" s="96"/>
      <c r="J51" s="96"/>
      <c r="K51" s="96"/>
      <c r="L51" s="96"/>
      <c r="M51" s="96"/>
      <c r="N51" s="96"/>
      <c r="O51" s="96"/>
      <c r="P51" s="96"/>
      <c r="Q51" s="96"/>
      <c r="R51" s="96"/>
      <c r="S51" s="96"/>
      <c r="T51" s="96"/>
      <c r="U51" s="96"/>
      <c r="V51" s="96"/>
      <c r="W51" s="96"/>
      <c r="X51" s="96"/>
      <c r="Y51" s="96"/>
      <c r="Z51" s="96"/>
      <c r="AA51" s="98" t="s">
        <v>146</v>
      </c>
      <c r="AB51" s="98"/>
      <c r="AC51" s="98"/>
      <c r="AD51" s="98"/>
      <c r="AE51" s="98"/>
      <c r="AF51" s="98"/>
      <c r="AG51" s="98"/>
      <c r="AH51" s="98" t="s">
        <v>135</v>
      </c>
      <c r="AI51" s="115">
        <f>ROUND(IF(ISBLANK(AA52),0,VLOOKUP(AA52,'Formula A Tables'!B52:AE56,16,TRUE)),0)</f>
        <v>0</v>
      </c>
    </row>
    <row r="52" spans="2:35" x14ac:dyDescent="0.35">
      <c r="B52" s="29"/>
      <c r="C52" s="19"/>
      <c r="D52" s="37" t="s">
        <v>16</v>
      </c>
      <c r="E52" s="92" t="s">
        <v>281</v>
      </c>
      <c r="F52" s="92"/>
      <c r="G52" s="92"/>
      <c r="H52" s="92"/>
      <c r="I52" s="92"/>
      <c r="J52" s="92"/>
      <c r="K52" s="92"/>
      <c r="L52" s="92"/>
      <c r="M52" s="92"/>
      <c r="N52" s="92"/>
      <c r="O52" s="92"/>
      <c r="P52" s="92"/>
      <c r="Q52" s="92"/>
      <c r="R52" s="92"/>
      <c r="S52" s="92"/>
      <c r="T52" s="92"/>
      <c r="U52" s="92"/>
      <c r="V52" s="92"/>
      <c r="W52" s="92"/>
      <c r="X52" s="92"/>
      <c r="Y52" s="92"/>
      <c r="Z52" s="92"/>
      <c r="AA52" s="105"/>
      <c r="AB52" s="105"/>
      <c r="AC52" s="105"/>
      <c r="AD52" s="105"/>
      <c r="AE52" s="105"/>
      <c r="AF52" s="105"/>
      <c r="AG52" s="105"/>
      <c r="AH52" s="98"/>
      <c r="AI52" s="115"/>
    </row>
    <row r="53" spans="2:35" x14ac:dyDescent="0.35">
      <c r="B53" s="31"/>
      <c r="C53" s="32" t="s">
        <v>32</v>
      </c>
      <c r="D53" s="86" t="s">
        <v>100</v>
      </c>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7"/>
      <c r="AH53" s="28" t="s">
        <v>136</v>
      </c>
      <c r="AI53" s="42">
        <f>ROUND(SUM(AI44:AI51),0)</f>
        <v>25000</v>
      </c>
    </row>
    <row r="54" spans="2:35" x14ac:dyDescent="0.35">
      <c r="B54" s="31"/>
      <c r="C54" s="32" t="s">
        <v>33</v>
      </c>
      <c r="D54" s="86" t="s">
        <v>277</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7"/>
      <c r="AH54" s="28" t="s">
        <v>137</v>
      </c>
      <c r="AI54" s="42">
        <v>0</v>
      </c>
    </row>
    <row r="55" spans="2:35" x14ac:dyDescent="0.35">
      <c r="B55" s="31"/>
      <c r="C55" s="32" t="s">
        <v>34</v>
      </c>
      <c r="D55" s="86" t="s">
        <v>101</v>
      </c>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7"/>
      <c r="AH55" s="28" t="s">
        <v>138</v>
      </c>
      <c r="AI55" s="38">
        <v>0.12</v>
      </c>
    </row>
    <row r="56" spans="2:35" x14ac:dyDescent="0.35">
      <c r="B56" s="33"/>
      <c r="C56" s="22" t="s">
        <v>35</v>
      </c>
      <c r="D56" s="96" t="s">
        <v>102</v>
      </c>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7"/>
      <c r="AH56" s="98" t="s">
        <v>136</v>
      </c>
      <c r="AI56" s="115">
        <f>ROUND(IF((AI53-AI54)*AI55&gt;0,(AI53-AI54)*AI55,0),0)</f>
        <v>3000</v>
      </c>
    </row>
    <row r="57" spans="2:35" x14ac:dyDescent="0.35">
      <c r="B57" s="23"/>
      <c r="C57" s="24"/>
      <c r="D57" s="35" t="s">
        <v>16</v>
      </c>
      <c r="E57" s="94" t="s">
        <v>103</v>
      </c>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5"/>
      <c r="AH57" s="98"/>
      <c r="AI57" s="115"/>
    </row>
    <row r="58" spans="2:35" x14ac:dyDescent="0.35">
      <c r="B58" s="29"/>
      <c r="C58" s="19"/>
      <c r="D58" s="37" t="s">
        <v>16</v>
      </c>
      <c r="E58" s="92" t="s">
        <v>99</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3"/>
      <c r="AH58" s="98"/>
      <c r="AI58" s="115"/>
    </row>
    <row r="59" spans="2:35" x14ac:dyDescent="0.3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row>
    <row r="60" spans="2:35" ht="18.5" x14ac:dyDescent="0.35">
      <c r="B60" s="99" t="s">
        <v>36</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1"/>
    </row>
    <row r="61" spans="2:35" x14ac:dyDescent="0.35">
      <c r="B61" s="119" t="s">
        <v>37</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1"/>
    </row>
    <row r="62" spans="2:35" x14ac:dyDescent="0.35">
      <c r="B62" s="85" t="s">
        <v>38</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H62" s="34"/>
      <c r="AI62" s="42">
        <f>ROUND(AI40,0)</f>
        <v>17365</v>
      </c>
    </row>
    <row r="63" spans="2:35" x14ac:dyDescent="0.35">
      <c r="B63" s="85" t="s">
        <v>39</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7"/>
      <c r="AH63" s="28" t="s">
        <v>135</v>
      </c>
      <c r="AI63" s="42">
        <f>ROUND(AI56,0)</f>
        <v>3000</v>
      </c>
    </row>
    <row r="64" spans="2:35" x14ac:dyDescent="0.35">
      <c r="B64" s="33"/>
      <c r="C64" s="22" t="s">
        <v>40</v>
      </c>
      <c r="D64" s="96" t="s">
        <v>104</v>
      </c>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7"/>
      <c r="AH64" s="98" t="s">
        <v>136</v>
      </c>
      <c r="AI64" s="115">
        <f>ROUND(AI40+AI56,0)</f>
        <v>20365</v>
      </c>
    </row>
    <row r="65" spans="2:61" x14ac:dyDescent="0.35">
      <c r="B65" s="29"/>
      <c r="C65" s="19"/>
      <c r="D65" s="37" t="s">
        <v>16</v>
      </c>
      <c r="E65" s="92" t="s">
        <v>82</v>
      </c>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3"/>
      <c r="AH65" s="98"/>
      <c r="AI65" s="115"/>
    </row>
    <row r="66" spans="2:61" x14ac:dyDescent="0.35">
      <c r="B66" s="119" t="s">
        <v>41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90"/>
      <c r="AI66" s="91"/>
    </row>
    <row r="67" spans="2:61" x14ac:dyDescent="0.35">
      <c r="B67" s="33"/>
      <c r="C67" s="22" t="s">
        <v>42</v>
      </c>
      <c r="D67" s="96" t="s">
        <v>105</v>
      </c>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7"/>
      <c r="AH67" s="98" t="s">
        <v>136</v>
      </c>
      <c r="AI67" s="115">
        <f>ROUND(VLOOKUP(AI64,'Formula A Tables'!B100:AE106,16,TRUE),0)</f>
        <v>4480</v>
      </c>
    </row>
    <row r="68" spans="2:61" x14ac:dyDescent="0.35">
      <c r="B68" s="29"/>
      <c r="C68" s="19"/>
      <c r="D68" s="37" t="s">
        <v>16</v>
      </c>
      <c r="E68" s="92" t="s">
        <v>106</v>
      </c>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3"/>
      <c r="AH68" s="98"/>
      <c r="AI68" s="115"/>
    </row>
    <row r="69" spans="2:61" x14ac:dyDescent="0.35">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row>
    <row r="70" spans="2:61" ht="18.5" x14ac:dyDescent="0.35">
      <c r="B70" s="99" t="s">
        <v>43</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1"/>
    </row>
    <row r="71" spans="2:61" x14ac:dyDescent="0.35">
      <c r="B71" s="122" t="s">
        <v>44</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0"/>
      <c r="AA71" s="120"/>
      <c r="AB71" s="120"/>
      <c r="AC71" s="120"/>
      <c r="AD71" s="120"/>
      <c r="AE71" s="120"/>
      <c r="AF71" s="120"/>
      <c r="AG71" s="120"/>
      <c r="AH71" s="120"/>
      <c r="AI71" s="121"/>
      <c r="AJ71" s="82" t="s">
        <v>349</v>
      </c>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4"/>
    </row>
    <row r="72" spans="2:61" x14ac:dyDescent="0.35">
      <c r="B72" s="33"/>
      <c r="C72" s="22"/>
      <c r="D72" s="22" t="s">
        <v>3</v>
      </c>
      <c r="E72" s="96" t="s">
        <v>107</v>
      </c>
      <c r="F72" s="96"/>
      <c r="G72" s="96"/>
      <c r="H72" s="96"/>
      <c r="I72" s="96"/>
      <c r="J72" s="96"/>
      <c r="K72" s="96"/>
      <c r="L72" s="96"/>
      <c r="M72" s="96"/>
      <c r="N72" s="96"/>
      <c r="O72" s="96"/>
      <c r="P72" s="96"/>
      <c r="Q72" s="96"/>
      <c r="R72" s="96"/>
      <c r="S72" s="96"/>
      <c r="T72" s="96"/>
      <c r="U72" s="96"/>
      <c r="V72" s="96"/>
      <c r="W72" s="96"/>
      <c r="X72" s="96"/>
      <c r="Y72" s="97"/>
      <c r="Z72" s="111" t="s">
        <v>309</v>
      </c>
      <c r="AA72" s="98"/>
      <c r="AB72" s="98"/>
      <c r="AC72" s="98"/>
      <c r="AD72" s="98"/>
      <c r="AE72" s="98"/>
      <c r="AF72" s="98"/>
      <c r="AG72" s="98"/>
      <c r="AH72" s="34"/>
      <c r="AI72" s="147">
        <v>1773</v>
      </c>
      <c r="AJ72" s="73" t="s">
        <v>343</v>
      </c>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5"/>
    </row>
    <row r="73" spans="2:61" x14ac:dyDescent="0.35">
      <c r="B73" s="29"/>
      <c r="C73" s="19"/>
      <c r="D73" s="19"/>
      <c r="E73" s="19"/>
      <c r="F73" s="136"/>
      <c r="G73" s="136"/>
      <c r="H73" s="136"/>
      <c r="I73" s="136"/>
      <c r="J73" s="136"/>
      <c r="K73" s="136"/>
      <c r="L73" s="136"/>
      <c r="M73" s="136"/>
      <c r="N73" s="136"/>
      <c r="O73" s="136"/>
      <c r="P73" s="136"/>
      <c r="Q73" s="136"/>
      <c r="R73" s="136"/>
      <c r="S73" s="136"/>
      <c r="T73" s="136"/>
      <c r="U73" s="136"/>
      <c r="V73" s="136"/>
      <c r="W73" s="136"/>
      <c r="X73" s="136"/>
      <c r="Y73" s="137"/>
      <c r="Z73" s="133">
        <v>1773</v>
      </c>
      <c r="AA73" s="134"/>
      <c r="AB73" s="134"/>
      <c r="AC73" s="134"/>
      <c r="AD73" s="134"/>
      <c r="AE73" s="134"/>
      <c r="AF73" s="134"/>
      <c r="AG73" s="134"/>
      <c r="AH73" s="34"/>
      <c r="AI73" s="148"/>
      <c r="AJ73" s="79"/>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1"/>
    </row>
    <row r="74" spans="2:61" x14ac:dyDescent="0.35">
      <c r="B74" s="29"/>
      <c r="C74" s="19"/>
      <c r="D74" s="19" t="s">
        <v>4</v>
      </c>
      <c r="E74" s="92" t="s">
        <v>108</v>
      </c>
      <c r="F74" s="92"/>
      <c r="G74" s="92"/>
      <c r="H74" s="92"/>
      <c r="I74" s="92"/>
      <c r="J74" s="92"/>
      <c r="K74" s="92"/>
      <c r="L74" s="92"/>
      <c r="M74" s="92"/>
      <c r="N74" s="92"/>
      <c r="O74" s="92"/>
      <c r="P74" s="92"/>
      <c r="Q74" s="92"/>
      <c r="R74" s="92"/>
      <c r="S74" s="92"/>
      <c r="T74" s="92"/>
      <c r="U74" s="92"/>
      <c r="V74" s="92"/>
      <c r="W74" s="92"/>
      <c r="X74" s="92"/>
      <c r="Y74" s="92"/>
      <c r="Z74" s="86"/>
      <c r="AA74" s="86"/>
      <c r="AB74" s="86"/>
      <c r="AC74" s="86"/>
      <c r="AD74" s="86"/>
      <c r="AE74" s="86"/>
      <c r="AF74" s="86"/>
      <c r="AG74" s="87"/>
      <c r="AH74" s="28" t="s">
        <v>135</v>
      </c>
      <c r="AI74" s="41"/>
      <c r="AJ74" s="70" t="s">
        <v>346</v>
      </c>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2"/>
    </row>
    <row r="75" spans="2:61" x14ac:dyDescent="0.35">
      <c r="B75" s="31"/>
      <c r="C75" s="32"/>
      <c r="D75" s="32" t="s">
        <v>5</v>
      </c>
      <c r="E75" s="86" t="s">
        <v>109</v>
      </c>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7"/>
      <c r="AH75" s="28" t="s">
        <v>135</v>
      </c>
      <c r="AI75" s="41"/>
      <c r="AJ75" s="70" t="s">
        <v>347</v>
      </c>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2"/>
    </row>
    <row r="76" spans="2:61" x14ac:dyDescent="0.35">
      <c r="B76" s="31"/>
      <c r="C76" s="32"/>
      <c r="D76" s="32" t="s">
        <v>6</v>
      </c>
      <c r="E76" s="86" t="s">
        <v>110</v>
      </c>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7"/>
      <c r="AH76" s="28" t="s">
        <v>135</v>
      </c>
      <c r="AI76" s="41"/>
      <c r="AJ76" s="70" t="s">
        <v>344</v>
      </c>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2"/>
    </row>
    <row r="77" spans="2:61" x14ac:dyDescent="0.35">
      <c r="B77" s="31"/>
      <c r="C77" s="32"/>
      <c r="D77" s="32" t="s">
        <v>7</v>
      </c>
      <c r="E77" s="86" t="s">
        <v>111</v>
      </c>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7"/>
      <c r="AH77" s="28" t="s">
        <v>135</v>
      </c>
      <c r="AI77" s="41"/>
      <c r="AJ77" s="70" t="s">
        <v>345</v>
      </c>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2"/>
    </row>
    <row r="78" spans="2:61" x14ac:dyDescent="0.35">
      <c r="B78" s="31"/>
      <c r="C78" s="32"/>
      <c r="D78" s="32" t="s">
        <v>8</v>
      </c>
      <c r="E78" s="86" t="s">
        <v>112</v>
      </c>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7"/>
      <c r="AH78" s="28" t="s">
        <v>135</v>
      </c>
      <c r="AI78" s="41"/>
      <c r="AJ78" s="70" t="s">
        <v>348</v>
      </c>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2"/>
    </row>
    <row r="79" spans="2:61" x14ac:dyDescent="0.35">
      <c r="B79" s="31"/>
      <c r="C79" s="32" t="s">
        <v>45</v>
      </c>
      <c r="D79" s="86" t="s">
        <v>113</v>
      </c>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7"/>
      <c r="AH79" s="28" t="s">
        <v>136</v>
      </c>
      <c r="AI79" s="42">
        <f>ROUND(SUM(AI72:AI78),0)</f>
        <v>1773</v>
      </c>
    </row>
    <row r="80" spans="2:61" x14ac:dyDescent="0.35">
      <c r="B80" s="119" t="s">
        <v>46</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90"/>
      <c r="AI80" s="91"/>
    </row>
    <row r="81" spans="2:61" x14ac:dyDescent="0.35">
      <c r="B81" s="31"/>
      <c r="C81" s="32"/>
      <c r="D81" s="32" t="s">
        <v>11</v>
      </c>
      <c r="E81" s="86" t="s">
        <v>114</v>
      </c>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7"/>
      <c r="AH81" s="34"/>
      <c r="AI81" s="41"/>
    </row>
    <row r="82" spans="2:61" x14ac:dyDescent="0.35">
      <c r="B82" s="31"/>
      <c r="C82" s="32"/>
      <c r="D82" s="32" t="s">
        <v>12</v>
      </c>
      <c r="E82" s="86" t="s">
        <v>115</v>
      </c>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7"/>
      <c r="AH82" s="28" t="s">
        <v>135</v>
      </c>
      <c r="AI82" s="41"/>
      <c r="AJ82" s="70" t="s">
        <v>447</v>
      </c>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2"/>
    </row>
    <row r="83" spans="2:61" x14ac:dyDescent="0.35">
      <c r="B83" s="31"/>
      <c r="C83" s="32"/>
      <c r="D83" s="32" t="s">
        <v>13</v>
      </c>
      <c r="E83" s="86" t="s">
        <v>116</v>
      </c>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7"/>
      <c r="AH83" s="28" t="s">
        <v>135</v>
      </c>
      <c r="AI83" s="41"/>
    </row>
    <row r="84" spans="2:61" x14ac:dyDescent="0.35">
      <c r="B84" s="31"/>
      <c r="C84" s="32" t="s">
        <v>47</v>
      </c>
      <c r="D84" s="86" t="s">
        <v>117</v>
      </c>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7"/>
      <c r="AH84" s="28" t="s">
        <v>136</v>
      </c>
      <c r="AI84" s="42">
        <f>ROUND(SUM(AI81:AI83),0)</f>
        <v>0</v>
      </c>
    </row>
    <row r="85" spans="2:61" x14ac:dyDescent="0.35">
      <c r="B85" s="33"/>
      <c r="C85" s="22" t="s">
        <v>48</v>
      </c>
      <c r="D85" s="96" t="s">
        <v>118</v>
      </c>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7"/>
      <c r="AH85" s="98" t="s">
        <v>136</v>
      </c>
      <c r="AI85" s="115">
        <f>ROUND(AI79-AI84,0)</f>
        <v>1773</v>
      </c>
    </row>
    <row r="86" spans="2:61" x14ac:dyDescent="0.35">
      <c r="B86" s="23"/>
      <c r="C86" s="24"/>
      <c r="D86" s="35" t="s">
        <v>16</v>
      </c>
      <c r="E86" s="94" t="s">
        <v>119</v>
      </c>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5"/>
      <c r="AH86" s="98"/>
      <c r="AI86" s="115"/>
    </row>
    <row r="87" spans="2:61" x14ac:dyDescent="0.35">
      <c r="B87" s="29"/>
      <c r="C87" s="19"/>
      <c r="D87" s="37" t="s">
        <v>16</v>
      </c>
      <c r="E87" s="92" t="s">
        <v>82</v>
      </c>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3"/>
      <c r="AH87" s="98"/>
      <c r="AI87" s="115"/>
    </row>
    <row r="88" spans="2:61" x14ac:dyDescent="0.35">
      <c r="B88" s="119" t="s">
        <v>49</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90"/>
      <c r="AI88" s="91"/>
    </row>
    <row r="89" spans="2:61" x14ac:dyDescent="0.35">
      <c r="B89" s="31"/>
      <c r="C89" s="32" t="s">
        <v>50</v>
      </c>
      <c r="D89" s="86" t="s">
        <v>120</v>
      </c>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34"/>
      <c r="AI89" s="41"/>
      <c r="AJ89" s="70" t="s">
        <v>448</v>
      </c>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2"/>
    </row>
    <row r="90" spans="2:61" x14ac:dyDescent="0.35">
      <c r="B90" s="31"/>
      <c r="C90" s="32" t="s">
        <v>51</v>
      </c>
      <c r="D90" s="86" t="s">
        <v>84</v>
      </c>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7"/>
      <c r="AH90" s="34"/>
      <c r="AI90" s="36"/>
    </row>
    <row r="91" spans="2:61" x14ac:dyDescent="0.35">
      <c r="B91" s="31"/>
      <c r="C91" s="32"/>
      <c r="D91" s="32" t="s">
        <v>3</v>
      </c>
      <c r="E91" s="86" t="s">
        <v>85</v>
      </c>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7"/>
      <c r="AH91" s="28" t="s">
        <v>135</v>
      </c>
      <c r="AI91" s="42">
        <f>ROUND(IF(Z73&gt;200000,(200000*0.0145)+((Z73-200000)*0.0235),Z73*0.0145),3)</f>
        <v>25.709</v>
      </c>
    </row>
    <row r="92" spans="2:61" x14ac:dyDescent="0.35">
      <c r="B92" s="31"/>
      <c r="C92" s="32"/>
      <c r="D92" s="32" t="s">
        <v>4</v>
      </c>
      <c r="E92" s="86" t="s">
        <v>86</v>
      </c>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7"/>
      <c r="AH92" s="28" t="s">
        <v>135</v>
      </c>
      <c r="AI92" s="42">
        <f>ROUND(IF(Z73&gt;147000,9114,Z73*0.062),3)</f>
        <v>109.926</v>
      </c>
    </row>
    <row r="93" spans="2:61" x14ac:dyDescent="0.35">
      <c r="B93" s="33"/>
      <c r="C93" s="22" t="s">
        <v>52</v>
      </c>
      <c r="D93" s="96" t="s">
        <v>121</v>
      </c>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7"/>
      <c r="AH93" s="28" t="s">
        <v>135</v>
      </c>
      <c r="AI93" s="42">
        <v>11130</v>
      </c>
    </row>
    <row r="94" spans="2:61" x14ac:dyDescent="0.35">
      <c r="B94" s="33"/>
      <c r="C94" s="22" t="s">
        <v>53</v>
      </c>
      <c r="D94" s="96" t="s">
        <v>122</v>
      </c>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7"/>
      <c r="AH94" s="111" t="s">
        <v>135</v>
      </c>
      <c r="AI94" s="115">
        <f>ROUND(IF(AI64&lt;0,0-AI64,0),0)</f>
        <v>0</v>
      </c>
    </row>
    <row r="95" spans="2:61" x14ac:dyDescent="0.35">
      <c r="B95" s="23"/>
      <c r="C95" s="24"/>
      <c r="D95" s="35" t="s">
        <v>16</v>
      </c>
      <c r="E95" s="94" t="s">
        <v>123</v>
      </c>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5"/>
      <c r="AH95" s="111"/>
      <c r="AI95" s="115"/>
    </row>
    <row r="96" spans="2:61" x14ac:dyDescent="0.35">
      <c r="B96" s="29"/>
      <c r="C96" s="19"/>
      <c r="D96" s="37" t="s">
        <v>16</v>
      </c>
      <c r="E96" s="92" t="s">
        <v>124</v>
      </c>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3"/>
      <c r="AH96" s="111"/>
      <c r="AI96" s="115"/>
    </row>
    <row r="97" spans="2:61" x14ac:dyDescent="0.35">
      <c r="B97" s="29"/>
      <c r="C97" s="19" t="s">
        <v>54</v>
      </c>
      <c r="D97" s="92" t="s">
        <v>125</v>
      </c>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3"/>
      <c r="AH97" s="28" t="s">
        <v>136</v>
      </c>
      <c r="AI97" s="42">
        <f>ROUND(SUM(AI89,AI91,AI92,AI93,AI94),0)</f>
        <v>11266</v>
      </c>
    </row>
    <row r="98" spans="2:61" x14ac:dyDescent="0.35">
      <c r="B98" s="119" t="s">
        <v>55</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90"/>
      <c r="AI98" s="91"/>
    </row>
    <row r="99" spans="2:61" x14ac:dyDescent="0.35">
      <c r="B99" s="85" t="s">
        <v>56</v>
      </c>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7"/>
      <c r="AH99" s="34"/>
      <c r="AI99" s="42">
        <f>ROUND(AI85,0)</f>
        <v>1773</v>
      </c>
    </row>
    <row r="100" spans="2:61" x14ac:dyDescent="0.35">
      <c r="B100" s="85" t="s">
        <v>57</v>
      </c>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c r="AH100" s="28" t="s">
        <v>137</v>
      </c>
      <c r="AI100" s="42">
        <f>ROUND(AI97,0)</f>
        <v>11266</v>
      </c>
    </row>
    <row r="101" spans="2:61" x14ac:dyDescent="0.35">
      <c r="B101" s="33"/>
      <c r="C101" s="22" t="s">
        <v>58</v>
      </c>
      <c r="D101" s="96" t="s">
        <v>126</v>
      </c>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7"/>
      <c r="AH101" s="98" t="s">
        <v>136</v>
      </c>
      <c r="AI101" s="115">
        <f>ROUND(AI85-AI97,0)</f>
        <v>-9493</v>
      </c>
    </row>
    <row r="102" spans="2:61" x14ac:dyDescent="0.35">
      <c r="B102" s="29"/>
      <c r="C102" s="19"/>
      <c r="D102" s="37" t="s">
        <v>16</v>
      </c>
      <c r="E102" s="92" t="s">
        <v>82</v>
      </c>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3"/>
      <c r="AH102" s="98"/>
      <c r="AI102" s="115"/>
    </row>
    <row r="103" spans="2:61" x14ac:dyDescent="0.35">
      <c r="B103" s="31"/>
      <c r="C103" s="32" t="s">
        <v>59</v>
      </c>
      <c r="D103" s="86" t="s">
        <v>127</v>
      </c>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7"/>
      <c r="AH103" s="28" t="s">
        <v>138</v>
      </c>
      <c r="AI103" s="38">
        <v>0.5</v>
      </c>
    </row>
    <row r="104" spans="2:61" x14ac:dyDescent="0.35">
      <c r="B104" s="33"/>
      <c r="C104" s="22" t="s">
        <v>60</v>
      </c>
      <c r="D104" s="96" t="s">
        <v>128</v>
      </c>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7"/>
      <c r="AH104" s="98" t="s">
        <v>136</v>
      </c>
      <c r="AI104" s="115">
        <f>ROUND(IF(AI101*AI103&lt;-1500,-1500,AI101*AI103),0)</f>
        <v>-1500</v>
      </c>
    </row>
    <row r="105" spans="2:61" x14ac:dyDescent="0.35">
      <c r="B105" s="23"/>
      <c r="C105" s="24"/>
      <c r="D105" s="35" t="s">
        <v>16</v>
      </c>
      <c r="E105" s="94" t="s">
        <v>133</v>
      </c>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5"/>
      <c r="AH105" s="98"/>
      <c r="AI105" s="115"/>
    </row>
    <row r="106" spans="2:61" x14ac:dyDescent="0.35">
      <c r="B106" s="29"/>
      <c r="C106" s="19"/>
      <c r="D106" s="37" t="s">
        <v>16</v>
      </c>
      <c r="E106" s="92" t="s">
        <v>296</v>
      </c>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3"/>
      <c r="AH106" s="98"/>
      <c r="AI106" s="115"/>
    </row>
    <row r="107" spans="2:61" x14ac:dyDescent="0.3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2:61" ht="18.5" x14ac:dyDescent="0.35">
      <c r="B108" s="99" t="s">
        <v>61</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1"/>
      <c r="AJ108" s="141" t="s">
        <v>449</v>
      </c>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3"/>
    </row>
    <row r="109" spans="2:61" x14ac:dyDescent="0.35">
      <c r="B109" s="31"/>
      <c r="C109" s="32" t="s">
        <v>62</v>
      </c>
      <c r="D109" s="86" t="s">
        <v>129</v>
      </c>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34"/>
      <c r="AI109" s="41">
        <v>5000</v>
      </c>
      <c r="AJ109" s="144"/>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6"/>
    </row>
    <row r="110" spans="2:61" x14ac:dyDescent="0.35">
      <c r="B110" s="33"/>
      <c r="C110" s="22" t="s">
        <v>63</v>
      </c>
      <c r="D110" s="96" t="s">
        <v>97</v>
      </c>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7"/>
      <c r="AH110" s="98" t="s">
        <v>135</v>
      </c>
      <c r="AI110" s="116"/>
    </row>
    <row r="111" spans="2:61" x14ac:dyDescent="0.35">
      <c r="B111" s="23"/>
      <c r="C111" s="24"/>
      <c r="D111" s="35" t="s">
        <v>16</v>
      </c>
      <c r="E111" s="124" t="s">
        <v>98</v>
      </c>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5"/>
      <c r="AH111" s="98"/>
      <c r="AI111" s="116"/>
    </row>
    <row r="112" spans="2:61" x14ac:dyDescent="0.35">
      <c r="B112" s="23"/>
      <c r="C112" s="24"/>
      <c r="D112" s="35"/>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5"/>
      <c r="AH112" s="98"/>
      <c r="AI112" s="116"/>
    </row>
    <row r="113" spans="2:35" x14ac:dyDescent="0.35">
      <c r="B113" s="23"/>
      <c r="C113" s="24"/>
      <c r="D113" s="35"/>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5"/>
      <c r="AH113" s="98"/>
      <c r="AI113" s="116"/>
    </row>
    <row r="114" spans="2:35" x14ac:dyDescent="0.35">
      <c r="B114" s="29"/>
      <c r="C114" s="19"/>
      <c r="D114" s="37" t="s">
        <v>16</v>
      </c>
      <c r="E114" s="92" t="s">
        <v>99</v>
      </c>
      <c r="F114" s="92"/>
      <c r="G114" s="92"/>
      <c r="H114" s="92"/>
      <c r="I114" s="92"/>
      <c r="J114" s="92"/>
      <c r="K114" s="92"/>
      <c r="L114" s="92"/>
      <c r="M114" s="92"/>
      <c r="N114" s="92"/>
      <c r="O114" s="92"/>
      <c r="P114" s="92"/>
      <c r="Q114" s="92"/>
      <c r="R114" s="92"/>
      <c r="S114" s="92"/>
      <c r="T114" s="92"/>
      <c r="U114" s="92"/>
      <c r="V114" s="92"/>
      <c r="W114" s="92"/>
      <c r="X114" s="92"/>
      <c r="Y114" s="92"/>
      <c r="Z114" s="92"/>
      <c r="AA114" s="94"/>
      <c r="AB114" s="94"/>
      <c r="AC114" s="94"/>
      <c r="AD114" s="94"/>
      <c r="AE114" s="94"/>
      <c r="AF114" s="94"/>
      <c r="AG114" s="95"/>
      <c r="AH114" s="98"/>
      <c r="AI114" s="116"/>
    </row>
    <row r="115" spans="2:35" x14ac:dyDescent="0.35">
      <c r="B115" s="33"/>
      <c r="C115" s="22" t="s">
        <v>64</v>
      </c>
      <c r="D115" s="96" t="s">
        <v>282</v>
      </c>
      <c r="E115" s="96"/>
      <c r="F115" s="96"/>
      <c r="G115" s="96"/>
      <c r="H115" s="96"/>
      <c r="I115" s="96"/>
      <c r="J115" s="96"/>
      <c r="K115" s="96"/>
      <c r="L115" s="96"/>
      <c r="M115" s="96"/>
      <c r="N115" s="96"/>
      <c r="O115" s="96"/>
      <c r="P115" s="96"/>
      <c r="Q115" s="96"/>
      <c r="R115" s="96"/>
      <c r="S115" s="96"/>
      <c r="T115" s="96"/>
      <c r="U115" s="96"/>
      <c r="V115" s="96"/>
      <c r="W115" s="96"/>
      <c r="X115" s="96"/>
      <c r="Y115" s="96"/>
      <c r="Z115" s="97"/>
      <c r="AA115" s="109" t="s">
        <v>146</v>
      </c>
      <c r="AB115" s="110"/>
      <c r="AC115" s="110"/>
      <c r="AD115" s="110"/>
      <c r="AE115" s="110"/>
      <c r="AF115" s="110"/>
      <c r="AG115" s="111"/>
      <c r="AH115" s="98" t="s">
        <v>135</v>
      </c>
      <c r="AI115" s="117">
        <f>ROUND(IF(ISBLANK(AA116),0,VLOOKUP(AA116,'Formula A Tables'!B61:AE65,16,TRUE)),0)</f>
        <v>0</v>
      </c>
    </row>
    <row r="116" spans="2:35" x14ac:dyDescent="0.35">
      <c r="B116" s="29"/>
      <c r="C116" s="19"/>
      <c r="D116" s="37" t="s">
        <v>16</v>
      </c>
      <c r="E116" s="126" t="s">
        <v>283</v>
      </c>
      <c r="F116" s="126"/>
      <c r="G116" s="126"/>
      <c r="H116" s="126"/>
      <c r="I116" s="126"/>
      <c r="J116" s="126"/>
      <c r="K116" s="126"/>
      <c r="L116" s="126"/>
      <c r="M116" s="126"/>
      <c r="N116" s="126"/>
      <c r="O116" s="126"/>
      <c r="P116" s="126"/>
      <c r="Q116" s="126"/>
      <c r="R116" s="126"/>
      <c r="S116" s="126"/>
      <c r="T116" s="126"/>
      <c r="U116" s="126"/>
      <c r="V116" s="126"/>
      <c r="W116" s="126"/>
      <c r="X116" s="126"/>
      <c r="Y116" s="126"/>
      <c r="Z116" s="127"/>
      <c r="AA116" s="106"/>
      <c r="AB116" s="107"/>
      <c r="AC116" s="107"/>
      <c r="AD116" s="107"/>
      <c r="AE116" s="107"/>
      <c r="AF116" s="107"/>
      <c r="AG116" s="108"/>
      <c r="AH116" s="98"/>
      <c r="AI116" s="117"/>
    </row>
    <row r="117" spans="2:35" x14ac:dyDescent="0.35">
      <c r="B117" s="31"/>
      <c r="C117" s="32" t="s">
        <v>65</v>
      </c>
      <c r="D117" s="86" t="s">
        <v>130</v>
      </c>
      <c r="E117" s="86"/>
      <c r="F117" s="86"/>
      <c r="G117" s="86"/>
      <c r="H117" s="86"/>
      <c r="I117" s="86"/>
      <c r="J117" s="86"/>
      <c r="K117" s="86"/>
      <c r="L117" s="86"/>
      <c r="M117" s="86"/>
      <c r="N117" s="86"/>
      <c r="O117" s="86"/>
      <c r="P117" s="86"/>
      <c r="Q117" s="86"/>
      <c r="R117" s="86"/>
      <c r="S117" s="86"/>
      <c r="T117" s="86"/>
      <c r="U117" s="86"/>
      <c r="V117" s="86"/>
      <c r="W117" s="86"/>
      <c r="X117" s="86"/>
      <c r="Y117" s="86"/>
      <c r="Z117" s="86"/>
      <c r="AA117" s="92"/>
      <c r="AB117" s="92"/>
      <c r="AC117" s="92"/>
      <c r="AD117" s="92"/>
      <c r="AE117" s="92"/>
      <c r="AF117" s="92"/>
      <c r="AG117" s="93"/>
      <c r="AH117" s="28" t="s">
        <v>136</v>
      </c>
      <c r="AI117" s="42">
        <f>ROUND(SUM(AI109:AI116),0)</f>
        <v>5000</v>
      </c>
    </row>
    <row r="118" spans="2:35" x14ac:dyDescent="0.35">
      <c r="B118" s="31"/>
      <c r="C118" s="32">
        <v>35</v>
      </c>
      <c r="D118" s="86" t="s">
        <v>184</v>
      </c>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7"/>
      <c r="AH118" s="28" t="s">
        <v>138</v>
      </c>
      <c r="AI118" s="38">
        <v>0.2</v>
      </c>
    </row>
    <row r="119" spans="2:35" x14ac:dyDescent="0.35">
      <c r="B119" s="33"/>
      <c r="C119" s="22">
        <v>36</v>
      </c>
      <c r="D119" s="96" t="s">
        <v>131</v>
      </c>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7"/>
      <c r="AH119" s="98" t="s">
        <v>136</v>
      </c>
      <c r="AI119" s="115">
        <f>ROUND(IF(AI117*AI118&gt;0,AI117*AI118,0),0)</f>
        <v>1000</v>
      </c>
    </row>
    <row r="120" spans="2:35" x14ac:dyDescent="0.35">
      <c r="B120" s="23"/>
      <c r="C120" s="24"/>
      <c r="D120" s="35" t="s">
        <v>16</v>
      </c>
      <c r="E120" s="94" t="s">
        <v>132</v>
      </c>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5"/>
      <c r="AH120" s="98"/>
      <c r="AI120" s="115"/>
    </row>
    <row r="121" spans="2:35" x14ac:dyDescent="0.35">
      <c r="B121" s="29"/>
      <c r="C121" s="19"/>
      <c r="D121" s="37" t="s">
        <v>16</v>
      </c>
      <c r="E121" s="92" t="s">
        <v>99</v>
      </c>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3"/>
      <c r="AH121" s="98"/>
      <c r="AI121" s="115"/>
    </row>
    <row r="122" spans="2:35" x14ac:dyDescent="0.35">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row>
    <row r="123" spans="2:35" ht="18.5" x14ac:dyDescent="0.35">
      <c r="B123" s="99" t="s">
        <v>66</v>
      </c>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1"/>
    </row>
    <row r="124" spans="2:35" x14ac:dyDescent="0.35">
      <c r="B124" s="85" t="s">
        <v>67</v>
      </c>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7"/>
      <c r="AH124" s="34"/>
      <c r="AI124" s="42">
        <f>ROUND(AI67,0)</f>
        <v>4480</v>
      </c>
    </row>
    <row r="125" spans="2:35" x14ac:dyDescent="0.35">
      <c r="B125" s="85" t="s">
        <v>68</v>
      </c>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7"/>
      <c r="AH125" s="28" t="s">
        <v>135</v>
      </c>
      <c r="AI125" s="42">
        <f>ROUND(AI104,0)</f>
        <v>-1500</v>
      </c>
    </row>
    <row r="126" spans="2:35" x14ac:dyDescent="0.35">
      <c r="B126" s="85" t="s">
        <v>69</v>
      </c>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7"/>
      <c r="AH126" s="28" t="s">
        <v>135</v>
      </c>
      <c r="AI126" s="42">
        <f>ROUND(AI119,0)</f>
        <v>1000</v>
      </c>
    </row>
    <row r="127" spans="2:35" x14ac:dyDescent="0.35">
      <c r="B127" s="33"/>
      <c r="C127" s="22">
        <v>37</v>
      </c>
      <c r="D127" s="96" t="s">
        <v>278</v>
      </c>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7"/>
      <c r="AH127" s="98" t="s">
        <v>136</v>
      </c>
      <c r="AI127" s="118">
        <f>ROUND(IF(AI67+AI104+AI119&lt;-1500,-1500,AI67+AI104+AI119),0)</f>
        <v>3980</v>
      </c>
    </row>
    <row r="128" spans="2:35" x14ac:dyDescent="0.35">
      <c r="B128" s="23"/>
      <c r="C128" s="24"/>
      <c r="D128" s="35" t="s">
        <v>16</v>
      </c>
      <c r="E128" s="94" t="s">
        <v>133</v>
      </c>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5"/>
      <c r="AH128" s="98"/>
      <c r="AI128" s="118"/>
    </row>
    <row r="129" spans="2:35" x14ac:dyDescent="0.35">
      <c r="B129" s="29"/>
      <c r="C129" s="19"/>
      <c r="D129" s="37" t="s">
        <v>16</v>
      </c>
      <c r="E129" s="92" t="s">
        <v>134</v>
      </c>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3"/>
      <c r="AH129" s="98"/>
      <c r="AI129" s="118"/>
    </row>
    <row r="133" spans="2:35" x14ac:dyDescent="0.35">
      <c r="AH133" s="2"/>
    </row>
  </sheetData>
  <sheetProtection algorithmName="SHA-512" hashValue="0HZriW7HbObTv89WXJR59KVjd6f/0w8bYiNkP9YMvLLATPPtdNScxHvWAyqBVklZC6+ZBUsvuo/UZxShf7TNSw==" saltValue="0BREotLz/jIvP3gEfU5qMg==" spinCount="100000" sheet="1" objects="1" scenarios="1"/>
  <mergeCells count="194">
    <mergeCell ref="AJ89:BI89"/>
    <mergeCell ref="AJ71:BI71"/>
    <mergeCell ref="AJ43:BI44"/>
    <mergeCell ref="AJ108:BI109"/>
    <mergeCell ref="D54:AG54"/>
    <mergeCell ref="D53:AG53"/>
    <mergeCell ref="E50:AG50"/>
    <mergeCell ref="E47:AG49"/>
    <mergeCell ref="B6:AI6"/>
    <mergeCell ref="E87:AG87"/>
    <mergeCell ref="E86:AG86"/>
    <mergeCell ref="D85:AG85"/>
    <mergeCell ref="D84:AG84"/>
    <mergeCell ref="E83:AG83"/>
    <mergeCell ref="D93:AG93"/>
    <mergeCell ref="E92:AG92"/>
    <mergeCell ref="E91:AG91"/>
    <mergeCell ref="D90:AG90"/>
    <mergeCell ref="D89:AG89"/>
    <mergeCell ref="AI72:AI73"/>
    <mergeCell ref="F73:Y73"/>
    <mergeCell ref="E72:Y72"/>
    <mergeCell ref="Z73:AG73"/>
    <mergeCell ref="Z72:AG72"/>
    <mergeCell ref="B5:AI5"/>
    <mergeCell ref="E19:AG19"/>
    <mergeCell ref="E18:AG18"/>
    <mergeCell ref="D16:AG16"/>
    <mergeCell ref="E15:AG15"/>
    <mergeCell ref="E14:AG14"/>
    <mergeCell ref="B17:AI17"/>
    <mergeCell ref="AH7:AH8"/>
    <mergeCell ref="Z7:AG7"/>
    <mergeCell ref="Z8:AG8"/>
    <mergeCell ref="R9:Y9"/>
    <mergeCell ref="Z9:AG9"/>
    <mergeCell ref="R10:Y10"/>
    <mergeCell ref="Z10:AG10"/>
    <mergeCell ref="F9:Q10"/>
    <mergeCell ref="AI7:AI10"/>
    <mergeCell ref="F8:Y8"/>
    <mergeCell ref="E7:Y7"/>
    <mergeCell ref="E129:AG129"/>
    <mergeCell ref="E128:AG128"/>
    <mergeCell ref="D127:AG127"/>
    <mergeCell ref="B126:AG126"/>
    <mergeCell ref="B125:AG125"/>
    <mergeCell ref="B124:AG124"/>
    <mergeCell ref="E13:AG13"/>
    <mergeCell ref="E12:AG12"/>
    <mergeCell ref="E11:AG11"/>
    <mergeCell ref="E24:AG24"/>
    <mergeCell ref="E23:AG23"/>
    <mergeCell ref="D22:AG22"/>
    <mergeCell ref="D21:AG21"/>
    <mergeCell ref="E20:AG20"/>
    <mergeCell ref="B25:AI25"/>
    <mergeCell ref="E29:AG29"/>
    <mergeCell ref="E28:AG28"/>
    <mergeCell ref="D27:AG27"/>
    <mergeCell ref="D26:AG26"/>
    <mergeCell ref="F35:AG35"/>
    <mergeCell ref="F34:AG34"/>
    <mergeCell ref="E33:AG33"/>
    <mergeCell ref="D32:AG32"/>
    <mergeCell ref="D46:AG46"/>
    <mergeCell ref="E114:AG114"/>
    <mergeCell ref="D110:AG110"/>
    <mergeCell ref="D109:AG109"/>
    <mergeCell ref="E111:AG113"/>
    <mergeCell ref="D94:AG94"/>
    <mergeCell ref="E106:AG106"/>
    <mergeCell ref="E121:AG121"/>
    <mergeCell ref="E120:AG120"/>
    <mergeCell ref="D119:AG119"/>
    <mergeCell ref="D118:AG118"/>
    <mergeCell ref="D117:AG117"/>
    <mergeCell ref="D115:Z115"/>
    <mergeCell ref="E116:Z116"/>
    <mergeCell ref="E105:AG105"/>
    <mergeCell ref="B100:AG100"/>
    <mergeCell ref="B99:AG99"/>
    <mergeCell ref="D97:AG97"/>
    <mergeCell ref="E96:AG96"/>
    <mergeCell ref="E95:AG95"/>
    <mergeCell ref="D104:AG104"/>
    <mergeCell ref="D103:AG103"/>
    <mergeCell ref="E102:AG102"/>
    <mergeCell ref="D101:AG101"/>
    <mergeCell ref="B123:AI123"/>
    <mergeCell ref="B108:AI108"/>
    <mergeCell ref="B107:AI107"/>
    <mergeCell ref="B98:AI98"/>
    <mergeCell ref="B88:AI88"/>
    <mergeCell ref="B80:AI80"/>
    <mergeCell ref="B62:AG62"/>
    <mergeCell ref="B66:AI66"/>
    <mergeCell ref="B61:AI61"/>
    <mergeCell ref="E68:AG68"/>
    <mergeCell ref="D67:AG67"/>
    <mergeCell ref="E65:AG65"/>
    <mergeCell ref="D64:AG64"/>
    <mergeCell ref="B63:AG63"/>
    <mergeCell ref="E76:AG76"/>
    <mergeCell ref="E75:AG75"/>
    <mergeCell ref="E74:AG74"/>
    <mergeCell ref="B71:AI71"/>
    <mergeCell ref="B70:AI70"/>
    <mergeCell ref="E82:AG82"/>
    <mergeCell ref="E81:AG81"/>
    <mergeCell ref="D79:AG79"/>
    <mergeCell ref="E78:AG78"/>
    <mergeCell ref="E77:AG77"/>
    <mergeCell ref="AI119:AI121"/>
    <mergeCell ref="AI127:AI129"/>
    <mergeCell ref="AH127:AH129"/>
    <mergeCell ref="AI22:AI24"/>
    <mergeCell ref="AI30:AI31"/>
    <mergeCell ref="AI32:AI35"/>
    <mergeCell ref="AI40:AI41"/>
    <mergeCell ref="AI46:AI50"/>
    <mergeCell ref="AI51:AI52"/>
    <mergeCell ref="AI56:AI58"/>
    <mergeCell ref="AI64:AI65"/>
    <mergeCell ref="AI67:AI68"/>
    <mergeCell ref="AH85:AH87"/>
    <mergeCell ref="AH94:AH96"/>
    <mergeCell ref="AH104:AH106"/>
    <mergeCell ref="AH101:AH102"/>
    <mergeCell ref="B122:AI122"/>
    <mergeCell ref="AH119:AH121"/>
    <mergeCell ref="AH115:AH116"/>
    <mergeCell ref="AH110:AH114"/>
    <mergeCell ref="AI85:AI87"/>
    <mergeCell ref="AI94:AI96"/>
    <mergeCell ref="B69:AI69"/>
    <mergeCell ref="AH22:AH24"/>
    <mergeCell ref="B2:AI2"/>
    <mergeCell ref="B3:AI3"/>
    <mergeCell ref="B4:AI4"/>
    <mergeCell ref="D51:Z51"/>
    <mergeCell ref="E52:Z52"/>
    <mergeCell ref="AA52:AG52"/>
    <mergeCell ref="AA51:AG51"/>
    <mergeCell ref="AA116:AG116"/>
    <mergeCell ref="AA115:AG115"/>
    <mergeCell ref="E31:Y31"/>
    <mergeCell ref="D30:Y30"/>
    <mergeCell ref="Z30:AG30"/>
    <mergeCell ref="Z31:AG31"/>
    <mergeCell ref="AI101:AI102"/>
    <mergeCell ref="AI104:AI106"/>
    <mergeCell ref="AI110:AI114"/>
    <mergeCell ref="AI115:AI116"/>
    <mergeCell ref="AH32:AH35"/>
    <mergeCell ref="AH30:AH31"/>
    <mergeCell ref="AH40:AH41"/>
    <mergeCell ref="AH56:AH58"/>
    <mergeCell ref="AH51:AH52"/>
    <mergeCell ref="AH46:AH50"/>
    <mergeCell ref="AH67:AH68"/>
    <mergeCell ref="AJ6:BI6"/>
    <mergeCell ref="AJ76:BI76"/>
    <mergeCell ref="AJ75:BI75"/>
    <mergeCell ref="AJ74:BI74"/>
    <mergeCell ref="AJ72:BI73"/>
    <mergeCell ref="AJ26:BI26"/>
    <mergeCell ref="B39:AG39"/>
    <mergeCell ref="B38:AG38"/>
    <mergeCell ref="D36:AG36"/>
    <mergeCell ref="B37:AI37"/>
    <mergeCell ref="E58:AG58"/>
    <mergeCell ref="E57:AG57"/>
    <mergeCell ref="D56:AG56"/>
    <mergeCell ref="D55:AG55"/>
    <mergeCell ref="AJ19:BI19"/>
    <mergeCell ref="AH64:AH65"/>
    <mergeCell ref="B43:AI43"/>
    <mergeCell ref="B42:AI42"/>
    <mergeCell ref="B59:AI59"/>
    <mergeCell ref="B60:AI60"/>
    <mergeCell ref="D45:AG45"/>
    <mergeCell ref="D44:AG44"/>
    <mergeCell ref="E41:AG41"/>
    <mergeCell ref="D40:AG40"/>
    <mergeCell ref="AJ77:BI77"/>
    <mergeCell ref="AJ78:BI78"/>
    <mergeCell ref="AJ82:BI82"/>
    <mergeCell ref="AJ15:BI15"/>
    <mergeCell ref="AJ14:BI14"/>
    <mergeCell ref="AJ13:BI13"/>
    <mergeCell ref="AJ12:BI12"/>
    <mergeCell ref="AJ11:BI11"/>
    <mergeCell ref="AJ7:BI10"/>
  </mergeCells>
  <conditionalFormatting sqref="AI44:AI50 AA52:AG52 AI109:AI114 AA116:AG116">
    <cfRule type="expression" dxfId="2" priority="1">
      <formula>AND($AI$7&gt;0,$AI$7&lt;60000)</formula>
    </cfRule>
  </conditionalFormatting>
  <pageMargins left="0.7" right="0.7" top="0.75" bottom="0.75" header="0.3" footer="0.3"/>
  <pageSetup scale="66" fitToHeight="0" orientation="portrait" r:id="rId1"/>
  <ignoredErrors>
    <ignoredError sqref="C16 C21:C24 C36 C114:C121 C50:C58 C44:C47 C106 C26:C32 C40 C127:C129 C109:C111 C101 C89:C97 C81:C87 C74:C79 C67:C68 C64:C65 F35 C103:C104 C72"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B0BAC69-D294-4CDB-A688-2837D0A0F865}">
          <x14:formula1>
            <xm:f>'Dropdown Menus'!$A$1:$A$5</xm:f>
          </x14:formula1>
          <xm:sqref>Z8:AG8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FA31-46EF-4BBE-9E9A-6E501CC572B8}">
  <sheetPr>
    <tabColor theme="4" tint="0.79998168889431442"/>
  </sheetPr>
  <dimension ref="B2:AG106"/>
  <sheetViews>
    <sheetView showGridLines="0" showRowColHeaders="0" workbookViewId="0"/>
  </sheetViews>
  <sheetFormatPr defaultColWidth="3.453125" defaultRowHeight="14.5" x14ac:dyDescent="0.35"/>
  <sheetData>
    <row r="2" spans="2:31" x14ac:dyDescent="0.35">
      <c r="B2" s="170" t="s">
        <v>148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row>
    <row r="3" spans="2:31" ht="14.4" customHeight="1" x14ac:dyDescent="0.35">
      <c r="B3" s="153" t="s">
        <v>149</v>
      </c>
      <c r="C3" s="153"/>
      <c r="D3" s="153"/>
      <c r="E3" s="153"/>
      <c r="F3" s="153"/>
      <c r="G3" s="153"/>
      <c r="H3" s="153"/>
      <c r="I3" s="153"/>
      <c r="J3" s="182" t="s">
        <v>150</v>
      </c>
      <c r="K3" s="183"/>
      <c r="L3" s="183"/>
      <c r="M3" s="183"/>
      <c r="N3" s="183"/>
      <c r="O3" s="183"/>
      <c r="P3" s="183"/>
      <c r="Q3" s="183"/>
      <c r="R3" s="183"/>
      <c r="S3" s="183"/>
      <c r="T3" s="183"/>
      <c r="U3" s="183"/>
      <c r="V3" s="183"/>
      <c r="W3" s="183"/>
      <c r="X3" s="183"/>
      <c r="Y3" s="183"/>
      <c r="Z3" s="183"/>
      <c r="AA3" s="183"/>
      <c r="AB3" s="183"/>
      <c r="AC3" s="183"/>
      <c r="AD3" s="183"/>
      <c r="AE3" s="184"/>
    </row>
    <row r="4" spans="2:31" ht="14.4" customHeight="1" x14ac:dyDescent="0.35">
      <c r="B4" s="153"/>
      <c r="C4" s="153"/>
      <c r="D4" s="153"/>
      <c r="E4" s="153"/>
      <c r="F4" s="153"/>
      <c r="G4" s="153"/>
      <c r="H4" s="153"/>
      <c r="I4" s="153"/>
      <c r="J4" s="185"/>
      <c r="K4" s="186"/>
      <c r="L4" s="186"/>
      <c r="M4" s="186"/>
      <c r="N4" s="186"/>
      <c r="O4" s="186"/>
      <c r="P4" s="186"/>
      <c r="Q4" s="186"/>
      <c r="R4" s="186"/>
      <c r="S4" s="186"/>
      <c r="T4" s="186"/>
      <c r="U4" s="186"/>
      <c r="V4" s="186"/>
      <c r="W4" s="186"/>
      <c r="X4" s="186"/>
      <c r="Y4" s="186"/>
      <c r="Z4" s="186"/>
      <c r="AA4" s="186"/>
      <c r="AB4" s="186"/>
      <c r="AC4" s="186"/>
      <c r="AD4" s="186"/>
      <c r="AE4" s="187"/>
    </row>
    <row r="5" spans="2:31" x14ac:dyDescent="0.35">
      <c r="B5" s="191" t="s">
        <v>151</v>
      </c>
      <c r="C5" s="192"/>
      <c r="D5" s="192"/>
      <c r="E5" s="192"/>
      <c r="F5" s="192"/>
      <c r="G5" s="192"/>
      <c r="H5" s="192"/>
      <c r="I5" s="193"/>
      <c r="J5" s="180" t="s">
        <v>152</v>
      </c>
      <c r="K5" s="150"/>
      <c r="L5" s="150"/>
      <c r="M5" s="150"/>
      <c r="N5" s="150"/>
      <c r="O5" s="150"/>
      <c r="P5" s="150"/>
      <c r="Q5" s="150"/>
      <c r="R5" s="150"/>
      <c r="S5" s="150"/>
      <c r="T5" s="150"/>
      <c r="U5" s="150"/>
      <c r="V5" s="150"/>
      <c r="W5" s="150"/>
      <c r="X5" s="150"/>
      <c r="Y5" s="150"/>
      <c r="Z5" s="150"/>
      <c r="AA5" s="150"/>
      <c r="AB5" s="150"/>
      <c r="AC5" s="150"/>
      <c r="AD5" s="150"/>
      <c r="AE5" s="181"/>
    </row>
    <row r="6" spans="2:31" x14ac:dyDescent="0.35">
      <c r="B6" s="194"/>
      <c r="C6" s="195"/>
      <c r="D6" s="195"/>
      <c r="E6" s="195"/>
      <c r="F6" s="195"/>
      <c r="G6" s="195"/>
      <c r="H6" s="195"/>
      <c r="I6" s="196"/>
      <c r="J6" s="6" t="s">
        <v>16</v>
      </c>
      <c r="K6" s="149" t="s">
        <v>154</v>
      </c>
      <c r="L6" s="149"/>
      <c r="M6" s="149"/>
      <c r="N6" s="149"/>
      <c r="O6" s="149"/>
      <c r="P6" s="149"/>
      <c r="Q6" s="149"/>
      <c r="R6" s="149"/>
      <c r="S6" s="149"/>
      <c r="T6" s="149"/>
      <c r="U6" s="149"/>
      <c r="V6" s="149"/>
      <c r="W6" s="149"/>
      <c r="X6" s="149"/>
      <c r="Y6" s="149"/>
      <c r="Z6" s="149"/>
      <c r="AA6" s="149"/>
      <c r="AB6" s="149"/>
      <c r="AC6" s="149"/>
      <c r="AD6" s="149"/>
      <c r="AE6" s="178"/>
    </row>
    <row r="7" spans="2:31" x14ac:dyDescent="0.35">
      <c r="B7" s="194"/>
      <c r="C7" s="195"/>
      <c r="D7" s="195"/>
      <c r="E7" s="195"/>
      <c r="F7" s="195"/>
      <c r="G7" s="195"/>
      <c r="H7" s="195"/>
      <c r="I7" s="196"/>
      <c r="J7" s="6" t="s">
        <v>16</v>
      </c>
      <c r="K7" s="149" t="s">
        <v>155</v>
      </c>
      <c r="L7" s="149"/>
      <c r="M7" s="149"/>
      <c r="N7" s="149"/>
      <c r="O7" s="149"/>
      <c r="P7" s="149"/>
      <c r="Q7" s="149"/>
      <c r="R7" s="149"/>
      <c r="S7" s="149"/>
      <c r="T7" s="149"/>
      <c r="U7" s="149"/>
      <c r="V7" s="149"/>
      <c r="W7" s="149"/>
      <c r="X7" s="149"/>
      <c r="Y7" s="149"/>
      <c r="Z7" s="149"/>
      <c r="AA7" s="149"/>
      <c r="AB7" s="149"/>
      <c r="AC7" s="149"/>
      <c r="AD7" s="149"/>
      <c r="AE7" s="178"/>
    </row>
    <row r="8" spans="2:31" x14ac:dyDescent="0.35">
      <c r="B8" s="194"/>
      <c r="C8" s="195"/>
      <c r="D8" s="195"/>
      <c r="E8" s="195"/>
      <c r="F8" s="195"/>
      <c r="G8" s="195"/>
      <c r="H8" s="195"/>
      <c r="I8" s="196"/>
      <c r="J8" s="179" t="s">
        <v>153</v>
      </c>
      <c r="K8" s="149"/>
      <c r="L8" s="149"/>
      <c r="M8" s="149"/>
      <c r="N8" s="149"/>
      <c r="O8" s="149"/>
      <c r="P8" s="149"/>
      <c r="Q8" s="149"/>
      <c r="R8" s="149"/>
      <c r="S8" s="149"/>
      <c r="T8" s="149"/>
      <c r="U8" s="149"/>
      <c r="V8" s="149"/>
      <c r="W8" s="149"/>
      <c r="X8" s="149"/>
      <c r="Y8" s="149"/>
      <c r="Z8" s="149"/>
      <c r="AA8" s="149"/>
      <c r="AB8" s="149"/>
      <c r="AC8" s="149"/>
      <c r="AD8" s="149"/>
      <c r="AE8" s="178"/>
    </row>
    <row r="9" spans="2:31" x14ac:dyDescent="0.35">
      <c r="B9" s="194"/>
      <c r="C9" s="195"/>
      <c r="D9" s="195"/>
      <c r="E9" s="195"/>
      <c r="F9" s="195"/>
      <c r="G9" s="195"/>
      <c r="H9" s="195"/>
      <c r="I9" s="196"/>
      <c r="J9" s="6" t="s">
        <v>16</v>
      </c>
      <c r="K9" s="149" t="s">
        <v>158</v>
      </c>
      <c r="L9" s="149"/>
      <c r="M9" s="149"/>
      <c r="N9" s="149"/>
      <c r="O9" s="149"/>
      <c r="P9" s="149"/>
      <c r="Q9" s="149"/>
      <c r="R9" s="149"/>
      <c r="S9" s="149"/>
      <c r="T9" s="149"/>
      <c r="U9" s="149"/>
      <c r="V9" s="149"/>
      <c r="W9" s="149"/>
      <c r="X9" s="149"/>
      <c r="Y9" s="149"/>
      <c r="Z9" s="149"/>
      <c r="AA9" s="149"/>
      <c r="AB9" s="149"/>
      <c r="AC9" s="149"/>
      <c r="AD9" s="149"/>
      <c r="AE9" s="178"/>
    </row>
    <row r="10" spans="2:31" x14ac:dyDescent="0.35">
      <c r="B10" s="194"/>
      <c r="C10" s="195"/>
      <c r="D10" s="195"/>
      <c r="E10" s="195"/>
      <c r="F10" s="195"/>
      <c r="G10" s="195"/>
      <c r="H10" s="195"/>
      <c r="I10" s="196"/>
      <c r="J10" s="6" t="s">
        <v>16</v>
      </c>
      <c r="K10" s="149" t="s">
        <v>159</v>
      </c>
      <c r="L10" s="149"/>
      <c r="M10" s="149"/>
      <c r="N10" s="149"/>
      <c r="O10" s="149"/>
      <c r="P10" s="149"/>
      <c r="Q10" s="149"/>
      <c r="R10" s="149"/>
      <c r="S10" s="149"/>
      <c r="T10" s="149"/>
      <c r="U10" s="149"/>
      <c r="V10" s="149"/>
      <c r="W10" s="149"/>
      <c r="X10" s="149"/>
      <c r="Y10" s="149"/>
      <c r="Z10" s="149"/>
      <c r="AA10" s="149"/>
      <c r="AB10" s="149"/>
      <c r="AC10" s="149"/>
      <c r="AD10" s="149"/>
      <c r="AE10" s="178"/>
    </row>
    <row r="11" spans="2:31" x14ac:dyDescent="0.35">
      <c r="B11" s="194"/>
      <c r="C11" s="195"/>
      <c r="D11" s="195"/>
      <c r="E11" s="195"/>
      <c r="F11" s="195"/>
      <c r="G11" s="195"/>
      <c r="H11" s="195"/>
      <c r="I11" s="196"/>
      <c r="J11" s="175" t="s">
        <v>157</v>
      </c>
      <c r="K11" s="176"/>
      <c r="L11" s="176"/>
      <c r="M11" s="176"/>
      <c r="N11" s="176"/>
      <c r="O11" s="176"/>
      <c r="P11" s="176"/>
      <c r="Q11" s="176"/>
      <c r="R11" s="176"/>
      <c r="S11" s="176"/>
      <c r="T11" s="176"/>
      <c r="U11" s="176"/>
      <c r="V11" s="176"/>
      <c r="W11" s="176"/>
      <c r="X11" s="176"/>
      <c r="Y11" s="176"/>
      <c r="Z11" s="176"/>
      <c r="AA11" s="176"/>
      <c r="AB11" s="176"/>
      <c r="AC11" s="176"/>
      <c r="AD11" s="176"/>
      <c r="AE11" s="177"/>
    </row>
    <row r="12" spans="2:31" x14ac:dyDescent="0.35">
      <c r="B12" s="194"/>
      <c r="C12" s="195"/>
      <c r="D12" s="195"/>
      <c r="E12" s="195"/>
      <c r="F12" s="195"/>
      <c r="G12" s="195"/>
      <c r="H12" s="195"/>
      <c r="I12" s="196"/>
      <c r="J12" s="6" t="s">
        <v>16</v>
      </c>
      <c r="K12" s="149" t="s">
        <v>160</v>
      </c>
      <c r="L12" s="149"/>
      <c r="M12" s="149"/>
      <c r="N12" s="149"/>
      <c r="O12" s="149"/>
      <c r="P12" s="149"/>
      <c r="Q12" s="149"/>
      <c r="R12" s="149"/>
      <c r="S12" s="149"/>
      <c r="T12" s="149"/>
      <c r="U12" s="149"/>
      <c r="V12" s="149"/>
      <c r="W12" s="149"/>
      <c r="X12" s="149"/>
      <c r="Y12" s="149"/>
      <c r="Z12" s="149"/>
      <c r="AA12" s="149"/>
      <c r="AB12" s="149"/>
      <c r="AC12" s="149"/>
      <c r="AD12" s="149"/>
      <c r="AE12" s="178"/>
    </row>
    <row r="13" spans="2:31" x14ac:dyDescent="0.35">
      <c r="B13" s="194"/>
      <c r="C13" s="195"/>
      <c r="D13" s="195"/>
      <c r="E13" s="195"/>
      <c r="F13" s="195"/>
      <c r="G13" s="195"/>
      <c r="H13" s="195"/>
      <c r="I13" s="196"/>
      <c r="J13" s="6" t="s">
        <v>16</v>
      </c>
      <c r="K13" s="149" t="s">
        <v>161</v>
      </c>
      <c r="L13" s="149"/>
      <c r="M13" s="149"/>
      <c r="N13" s="149"/>
      <c r="O13" s="149"/>
      <c r="P13" s="149"/>
      <c r="Q13" s="149"/>
      <c r="R13" s="149"/>
      <c r="S13" s="149"/>
      <c r="T13" s="149"/>
      <c r="U13" s="149"/>
      <c r="V13" s="149"/>
      <c r="W13" s="149"/>
      <c r="X13" s="149"/>
      <c r="Y13" s="149"/>
      <c r="Z13" s="149"/>
      <c r="AA13" s="149"/>
      <c r="AB13" s="149"/>
      <c r="AC13" s="149"/>
      <c r="AD13" s="149"/>
      <c r="AE13" s="178"/>
    </row>
    <row r="14" spans="2:31" x14ac:dyDescent="0.35">
      <c r="B14" s="194"/>
      <c r="C14" s="195"/>
      <c r="D14" s="195"/>
      <c r="E14" s="195"/>
      <c r="F14" s="195"/>
      <c r="G14" s="195"/>
      <c r="H14" s="195"/>
      <c r="I14" s="196"/>
      <c r="J14" s="6" t="s">
        <v>16</v>
      </c>
      <c r="K14" s="149" t="s">
        <v>162</v>
      </c>
      <c r="L14" s="149"/>
      <c r="M14" s="149"/>
      <c r="N14" s="149"/>
      <c r="O14" s="149"/>
      <c r="P14" s="149"/>
      <c r="Q14" s="149"/>
      <c r="R14" s="149"/>
      <c r="S14" s="149"/>
      <c r="T14" s="149"/>
      <c r="U14" s="149"/>
      <c r="V14" s="149"/>
      <c r="W14" s="149"/>
      <c r="X14" s="149"/>
      <c r="Y14" s="149"/>
      <c r="Z14" s="149"/>
      <c r="AA14" s="149"/>
      <c r="AB14" s="149"/>
      <c r="AC14" s="149"/>
      <c r="AD14" s="149"/>
      <c r="AE14" s="178"/>
    </row>
    <row r="15" spans="2:31" x14ac:dyDescent="0.35">
      <c r="B15" s="194"/>
      <c r="C15" s="195"/>
      <c r="D15" s="195"/>
      <c r="E15" s="195"/>
      <c r="F15" s="195"/>
      <c r="G15" s="195"/>
      <c r="H15" s="195"/>
      <c r="I15" s="196"/>
      <c r="J15" s="6" t="s">
        <v>16</v>
      </c>
      <c r="K15" s="149" t="s">
        <v>163</v>
      </c>
      <c r="L15" s="149"/>
      <c r="M15" s="149"/>
      <c r="N15" s="149"/>
      <c r="O15" s="149"/>
      <c r="P15" s="149"/>
      <c r="Q15" s="149"/>
      <c r="R15" s="149"/>
      <c r="S15" s="149"/>
      <c r="T15" s="149"/>
      <c r="U15" s="149"/>
      <c r="V15" s="149"/>
      <c r="W15" s="149"/>
      <c r="X15" s="149"/>
      <c r="Y15" s="149"/>
      <c r="Z15" s="149"/>
      <c r="AA15" s="149"/>
      <c r="AB15" s="149"/>
      <c r="AC15" s="149"/>
      <c r="AD15" s="149"/>
      <c r="AE15" s="178"/>
    </row>
    <row r="16" spans="2:31" x14ac:dyDescent="0.35">
      <c r="B16" s="194"/>
      <c r="C16" s="195"/>
      <c r="D16" s="195"/>
      <c r="E16" s="195"/>
      <c r="F16" s="195"/>
      <c r="G16" s="195"/>
      <c r="H16" s="195"/>
      <c r="I16" s="196"/>
      <c r="J16" s="175" t="s">
        <v>156</v>
      </c>
      <c r="K16" s="176"/>
      <c r="L16" s="176"/>
      <c r="M16" s="176"/>
      <c r="N16" s="176"/>
      <c r="O16" s="176"/>
      <c r="P16" s="176"/>
      <c r="Q16" s="176"/>
      <c r="R16" s="176"/>
      <c r="S16" s="176"/>
      <c r="T16" s="176"/>
      <c r="U16" s="176"/>
      <c r="V16" s="176"/>
      <c r="W16" s="176"/>
      <c r="X16" s="176"/>
      <c r="Y16" s="176"/>
      <c r="Z16" s="176"/>
      <c r="AA16" s="176"/>
      <c r="AB16" s="176"/>
      <c r="AC16" s="176"/>
      <c r="AD16" s="176"/>
      <c r="AE16" s="177"/>
    </row>
    <row r="17" spans="2:31" x14ac:dyDescent="0.35">
      <c r="B17" s="194"/>
      <c r="C17" s="195"/>
      <c r="D17" s="195"/>
      <c r="E17" s="195"/>
      <c r="F17" s="195"/>
      <c r="G17" s="195"/>
      <c r="H17" s="195"/>
      <c r="I17" s="196"/>
      <c r="J17" s="6" t="s">
        <v>16</v>
      </c>
      <c r="K17" s="149" t="s">
        <v>164</v>
      </c>
      <c r="L17" s="149"/>
      <c r="M17" s="149"/>
      <c r="N17" s="149"/>
      <c r="O17" s="149"/>
      <c r="P17" s="149"/>
      <c r="Q17" s="149"/>
      <c r="R17" s="149"/>
      <c r="S17" s="149"/>
      <c r="T17" s="149"/>
      <c r="U17" s="149"/>
      <c r="V17" s="149"/>
      <c r="W17" s="149"/>
      <c r="X17" s="149"/>
      <c r="Y17" s="149"/>
      <c r="Z17" s="149"/>
      <c r="AA17" s="149"/>
      <c r="AB17" s="149"/>
      <c r="AC17" s="149"/>
      <c r="AD17" s="149"/>
      <c r="AE17" s="178"/>
    </row>
    <row r="18" spans="2:31" x14ac:dyDescent="0.35">
      <c r="B18" s="197"/>
      <c r="C18" s="198"/>
      <c r="D18" s="198"/>
      <c r="E18" s="198"/>
      <c r="F18" s="198"/>
      <c r="G18" s="198"/>
      <c r="H18" s="198"/>
      <c r="I18" s="199"/>
      <c r="J18" s="7" t="s">
        <v>16</v>
      </c>
      <c r="K18" s="200" t="s">
        <v>165</v>
      </c>
      <c r="L18" s="200"/>
      <c r="M18" s="200"/>
      <c r="N18" s="200"/>
      <c r="O18" s="200"/>
      <c r="P18" s="200"/>
      <c r="Q18" s="200"/>
      <c r="R18" s="200"/>
      <c r="S18" s="200"/>
      <c r="T18" s="200"/>
      <c r="U18" s="200"/>
      <c r="V18" s="200"/>
      <c r="W18" s="200"/>
      <c r="X18" s="200"/>
      <c r="Y18" s="200"/>
      <c r="Z18" s="200"/>
      <c r="AA18" s="200"/>
      <c r="AB18" s="200"/>
      <c r="AC18" s="200"/>
      <c r="AD18" s="200"/>
      <c r="AE18" s="201"/>
    </row>
    <row r="19" spans="2:31" x14ac:dyDescent="0.35">
      <c r="B19" s="161" t="s">
        <v>166</v>
      </c>
      <c r="C19" s="162"/>
      <c r="D19" s="162"/>
      <c r="E19" s="162"/>
      <c r="F19" s="162"/>
      <c r="G19" s="162"/>
      <c r="H19" s="162"/>
      <c r="I19" s="163"/>
      <c r="J19" s="158" t="s">
        <v>167</v>
      </c>
      <c r="K19" s="159"/>
      <c r="L19" s="159"/>
      <c r="M19" s="159"/>
      <c r="N19" s="159"/>
      <c r="O19" s="159"/>
      <c r="P19" s="159"/>
      <c r="Q19" s="159"/>
      <c r="R19" s="159"/>
      <c r="S19" s="159"/>
      <c r="T19" s="159"/>
      <c r="U19" s="159"/>
      <c r="V19" s="159"/>
      <c r="W19" s="159"/>
      <c r="X19" s="159"/>
      <c r="Y19" s="159"/>
      <c r="Z19" s="159"/>
      <c r="AA19" s="159"/>
      <c r="AB19" s="159"/>
      <c r="AC19" s="159"/>
      <c r="AD19" s="159"/>
      <c r="AE19" s="160"/>
    </row>
    <row r="20" spans="2:31" ht="14.4" customHeight="1" x14ac:dyDescent="0.35">
      <c r="B20" s="164"/>
      <c r="C20" s="165"/>
      <c r="D20" s="165"/>
      <c r="E20" s="165"/>
      <c r="F20" s="165"/>
      <c r="G20" s="165"/>
      <c r="H20" s="165"/>
      <c r="I20" s="166"/>
      <c r="J20" s="6" t="s">
        <v>16</v>
      </c>
      <c r="K20" s="165" t="s">
        <v>168</v>
      </c>
      <c r="L20" s="165"/>
      <c r="M20" s="165"/>
      <c r="N20" s="165"/>
      <c r="O20" s="165"/>
      <c r="P20" s="165"/>
      <c r="Q20" s="165"/>
      <c r="R20" s="165"/>
      <c r="S20" s="165"/>
      <c r="T20" s="165"/>
      <c r="U20" s="165"/>
      <c r="V20" s="165"/>
      <c r="W20" s="165"/>
      <c r="X20" s="165"/>
      <c r="Y20" s="165"/>
      <c r="Z20" s="165"/>
      <c r="AA20" s="165"/>
      <c r="AB20" s="165"/>
      <c r="AC20" s="165"/>
      <c r="AD20" s="165"/>
      <c r="AE20" s="166"/>
    </row>
    <row r="21" spans="2:31" x14ac:dyDescent="0.35">
      <c r="B21" s="164"/>
      <c r="C21" s="165"/>
      <c r="D21" s="165"/>
      <c r="E21" s="165"/>
      <c r="F21" s="165"/>
      <c r="G21" s="165"/>
      <c r="H21" s="165"/>
      <c r="I21" s="166"/>
      <c r="J21" s="9"/>
      <c r="K21" s="165"/>
      <c r="L21" s="165"/>
      <c r="M21" s="165"/>
      <c r="N21" s="165"/>
      <c r="O21" s="165"/>
      <c r="P21" s="165"/>
      <c r="Q21" s="165"/>
      <c r="R21" s="165"/>
      <c r="S21" s="165"/>
      <c r="T21" s="165"/>
      <c r="U21" s="165"/>
      <c r="V21" s="165"/>
      <c r="W21" s="165"/>
      <c r="X21" s="165"/>
      <c r="Y21" s="165"/>
      <c r="Z21" s="165"/>
      <c r="AA21" s="165"/>
      <c r="AB21" s="165"/>
      <c r="AC21" s="165"/>
      <c r="AD21" s="165"/>
      <c r="AE21" s="166"/>
    </row>
    <row r="22" spans="2:31" x14ac:dyDescent="0.35">
      <c r="B22" s="164"/>
      <c r="C22" s="165"/>
      <c r="D22" s="165"/>
      <c r="E22" s="165"/>
      <c r="F22" s="165"/>
      <c r="G22" s="165"/>
      <c r="H22" s="165"/>
      <c r="I22" s="166"/>
      <c r="J22" s="9"/>
      <c r="K22" s="165"/>
      <c r="L22" s="165"/>
      <c r="M22" s="165"/>
      <c r="N22" s="165"/>
      <c r="O22" s="165"/>
      <c r="P22" s="165"/>
      <c r="Q22" s="165"/>
      <c r="R22" s="165"/>
      <c r="S22" s="165"/>
      <c r="T22" s="165"/>
      <c r="U22" s="165"/>
      <c r="V22" s="165"/>
      <c r="W22" s="165"/>
      <c r="X22" s="165"/>
      <c r="Y22" s="165"/>
      <c r="Z22" s="165"/>
      <c r="AA22" s="165"/>
      <c r="AB22" s="165"/>
      <c r="AC22" s="165"/>
      <c r="AD22" s="165"/>
      <c r="AE22" s="166"/>
    </row>
    <row r="23" spans="2:31" ht="14.4" customHeight="1" x14ac:dyDescent="0.35">
      <c r="B23" s="164"/>
      <c r="C23" s="165"/>
      <c r="D23" s="165"/>
      <c r="E23" s="165"/>
      <c r="F23" s="165"/>
      <c r="G23" s="165"/>
      <c r="H23" s="165"/>
      <c r="I23" s="166"/>
      <c r="J23" s="6" t="s">
        <v>16</v>
      </c>
      <c r="K23" s="165" t="s">
        <v>169</v>
      </c>
      <c r="L23" s="165"/>
      <c r="M23" s="165"/>
      <c r="N23" s="165"/>
      <c r="O23" s="165"/>
      <c r="P23" s="165"/>
      <c r="Q23" s="165"/>
      <c r="R23" s="165"/>
      <c r="S23" s="165"/>
      <c r="T23" s="165"/>
      <c r="U23" s="165"/>
      <c r="V23" s="165"/>
      <c r="W23" s="165"/>
      <c r="X23" s="165"/>
      <c r="Y23" s="165"/>
      <c r="Z23" s="165"/>
      <c r="AA23" s="165"/>
      <c r="AB23" s="165"/>
      <c r="AC23" s="165"/>
      <c r="AD23" s="165"/>
      <c r="AE23" s="166"/>
    </row>
    <row r="24" spans="2:31" x14ac:dyDescent="0.35">
      <c r="B24" s="164"/>
      <c r="C24" s="165"/>
      <c r="D24" s="165"/>
      <c r="E24" s="165"/>
      <c r="F24" s="165"/>
      <c r="G24" s="165"/>
      <c r="H24" s="165"/>
      <c r="I24" s="166"/>
      <c r="J24" s="9"/>
      <c r="K24" s="165"/>
      <c r="L24" s="165"/>
      <c r="M24" s="165"/>
      <c r="N24" s="165"/>
      <c r="O24" s="165"/>
      <c r="P24" s="165"/>
      <c r="Q24" s="165"/>
      <c r="R24" s="165"/>
      <c r="S24" s="165"/>
      <c r="T24" s="165"/>
      <c r="U24" s="165"/>
      <c r="V24" s="165"/>
      <c r="W24" s="165"/>
      <c r="X24" s="165"/>
      <c r="Y24" s="165"/>
      <c r="Z24" s="165"/>
      <c r="AA24" s="165"/>
      <c r="AB24" s="165"/>
      <c r="AC24" s="165"/>
      <c r="AD24" s="165"/>
      <c r="AE24" s="166"/>
    </row>
    <row r="25" spans="2:31" x14ac:dyDescent="0.35">
      <c r="B25" s="164"/>
      <c r="C25" s="165"/>
      <c r="D25" s="165"/>
      <c r="E25" s="165"/>
      <c r="F25" s="165"/>
      <c r="G25" s="165"/>
      <c r="H25" s="165"/>
      <c r="I25" s="166"/>
      <c r="J25" s="9"/>
      <c r="K25" s="165"/>
      <c r="L25" s="165"/>
      <c r="M25" s="165"/>
      <c r="N25" s="165"/>
      <c r="O25" s="165"/>
      <c r="P25" s="165"/>
      <c r="Q25" s="165"/>
      <c r="R25" s="165"/>
      <c r="S25" s="165"/>
      <c r="T25" s="165"/>
      <c r="U25" s="165"/>
      <c r="V25" s="165"/>
      <c r="W25" s="165"/>
      <c r="X25" s="165"/>
      <c r="Y25" s="165"/>
      <c r="Z25" s="165"/>
      <c r="AA25" s="165"/>
      <c r="AB25" s="165"/>
      <c r="AC25" s="165"/>
      <c r="AD25" s="165"/>
      <c r="AE25" s="166"/>
    </row>
    <row r="26" spans="2:31" x14ac:dyDescent="0.35">
      <c r="B26" s="164"/>
      <c r="C26" s="165"/>
      <c r="D26" s="165"/>
      <c r="E26" s="165"/>
      <c r="F26" s="165"/>
      <c r="G26" s="165"/>
      <c r="H26" s="165"/>
      <c r="I26" s="166"/>
      <c r="J26" s="9"/>
      <c r="K26" s="165"/>
      <c r="L26" s="165"/>
      <c r="M26" s="165"/>
      <c r="N26" s="165"/>
      <c r="O26" s="165"/>
      <c r="P26" s="165"/>
      <c r="Q26" s="165"/>
      <c r="R26" s="165"/>
      <c r="S26" s="165"/>
      <c r="T26" s="165"/>
      <c r="U26" s="165"/>
      <c r="V26" s="165"/>
      <c r="W26" s="165"/>
      <c r="X26" s="165"/>
      <c r="Y26" s="165"/>
      <c r="Z26" s="165"/>
      <c r="AA26" s="165"/>
      <c r="AB26" s="165"/>
      <c r="AC26" s="165"/>
      <c r="AD26" s="165"/>
      <c r="AE26" s="166"/>
    </row>
    <row r="27" spans="2:31" x14ac:dyDescent="0.35">
      <c r="B27" s="164"/>
      <c r="C27" s="165"/>
      <c r="D27" s="165"/>
      <c r="E27" s="165"/>
      <c r="F27" s="165"/>
      <c r="G27" s="165"/>
      <c r="H27" s="165"/>
      <c r="I27" s="166"/>
      <c r="J27" s="175" t="s">
        <v>156</v>
      </c>
      <c r="K27" s="176"/>
      <c r="L27" s="176"/>
      <c r="M27" s="176"/>
      <c r="N27" s="176"/>
      <c r="O27" s="176"/>
      <c r="P27" s="176"/>
      <c r="Q27" s="176"/>
      <c r="R27" s="176"/>
      <c r="S27" s="176"/>
      <c r="T27" s="176"/>
      <c r="U27" s="176"/>
      <c r="V27" s="176"/>
      <c r="W27" s="176"/>
      <c r="X27" s="176"/>
      <c r="Y27" s="176"/>
      <c r="Z27" s="176"/>
      <c r="AA27" s="176"/>
      <c r="AB27" s="176"/>
      <c r="AC27" s="176"/>
      <c r="AD27" s="176"/>
      <c r="AE27" s="177"/>
    </row>
    <row r="28" spans="2:31" ht="14.4" customHeight="1" x14ac:dyDescent="0.35">
      <c r="B28" s="164"/>
      <c r="C28" s="165"/>
      <c r="D28" s="165"/>
      <c r="E28" s="165"/>
      <c r="F28" s="165"/>
      <c r="G28" s="165"/>
      <c r="H28" s="165"/>
      <c r="I28" s="166"/>
      <c r="J28" s="6" t="s">
        <v>16</v>
      </c>
      <c r="K28" s="165" t="s">
        <v>170</v>
      </c>
      <c r="L28" s="165"/>
      <c r="M28" s="165"/>
      <c r="N28" s="165"/>
      <c r="O28" s="165"/>
      <c r="P28" s="165"/>
      <c r="Q28" s="165"/>
      <c r="R28" s="165"/>
      <c r="S28" s="165"/>
      <c r="T28" s="165"/>
      <c r="U28" s="165"/>
      <c r="V28" s="165"/>
      <c r="W28" s="165"/>
      <c r="X28" s="165"/>
      <c r="Y28" s="165"/>
      <c r="Z28" s="165"/>
      <c r="AA28" s="165"/>
      <c r="AB28" s="165"/>
      <c r="AC28" s="165"/>
      <c r="AD28" s="165"/>
      <c r="AE28" s="166"/>
    </row>
    <row r="29" spans="2:31" x14ac:dyDescent="0.35">
      <c r="B29" s="164"/>
      <c r="C29" s="165"/>
      <c r="D29" s="165"/>
      <c r="E29" s="165"/>
      <c r="F29" s="165"/>
      <c r="G29" s="165"/>
      <c r="H29" s="165"/>
      <c r="I29" s="166"/>
      <c r="J29" s="9"/>
      <c r="K29" s="165"/>
      <c r="L29" s="165"/>
      <c r="M29" s="165"/>
      <c r="N29" s="165"/>
      <c r="O29" s="165"/>
      <c r="P29" s="165"/>
      <c r="Q29" s="165"/>
      <c r="R29" s="165"/>
      <c r="S29" s="165"/>
      <c r="T29" s="165"/>
      <c r="U29" s="165"/>
      <c r="V29" s="165"/>
      <c r="W29" s="165"/>
      <c r="X29" s="165"/>
      <c r="Y29" s="165"/>
      <c r="Z29" s="165"/>
      <c r="AA29" s="165"/>
      <c r="AB29" s="165"/>
      <c r="AC29" s="165"/>
      <c r="AD29" s="165"/>
      <c r="AE29" s="166"/>
    </row>
    <row r="30" spans="2:31" x14ac:dyDescent="0.35">
      <c r="B30" s="167"/>
      <c r="C30" s="168"/>
      <c r="D30" s="168"/>
      <c r="E30" s="168"/>
      <c r="F30" s="168"/>
      <c r="G30" s="168"/>
      <c r="H30" s="168"/>
      <c r="I30" s="169"/>
      <c r="J30" s="10"/>
      <c r="K30" s="168"/>
      <c r="L30" s="168"/>
      <c r="M30" s="168"/>
      <c r="N30" s="168"/>
      <c r="O30" s="168"/>
      <c r="P30" s="168"/>
      <c r="Q30" s="168"/>
      <c r="R30" s="168"/>
      <c r="S30" s="168"/>
      <c r="T30" s="168"/>
      <c r="U30" s="168"/>
      <c r="V30" s="168"/>
      <c r="W30" s="168"/>
      <c r="X30" s="168"/>
      <c r="Y30" s="168"/>
      <c r="Z30" s="168"/>
      <c r="AA30" s="168"/>
      <c r="AB30" s="168"/>
      <c r="AC30" s="168"/>
      <c r="AD30" s="168"/>
      <c r="AE30" s="169"/>
    </row>
    <row r="31" spans="2:31" ht="14.4" customHeight="1" x14ac:dyDescent="0.35">
      <c r="B31" s="14" t="s">
        <v>177</v>
      </c>
      <c r="C31" s="202" t="s">
        <v>294</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row>
    <row r="32" spans="2:31" x14ac:dyDescent="0.35">
      <c r="B32" s="1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row>
    <row r="33" spans="2:33" x14ac:dyDescent="0.35">
      <c r="B33" s="1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row>
    <row r="34" spans="2:33" x14ac:dyDescent="0.35">
      <c r="B34" s="1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row>
    <row r="35" spans="2:33" ht="14.4" customHeight="1" x14ac:dyDescent="0.35">
      <c r="B35" s="12"/>
      <c r="C35" s="203" t="s">
        <v>233</v>
      </c>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row>
    <row r="36" spans="2:33" x14ac:dyDescent="0.35">
      <c r="B36" s="12"/>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row>
    <row r="37" spans="2:33" x14ac:dyDescent="0.35">
      <c r="B37" s="12"/>
      <c r="C37" s="165" t="s">
        <v>234</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row>
    <row r="38" spans="2:33" x14ac:dyDescent="0.35">
      <c r="K38" s="8"/>
      <c r="L38" s="8"/>
      <c r="M38" s="8"/>
      <c r="N38" s="8"/>
      <c r="O38" s="8"/>
      <c r="P38" s="8"/>
      <c r="Q38" s="8"/>
      <c r="R38" s="8"/>
      <c r="S38" s="8"/>
      <c r="T38" s="8"/>
      <c r="U38" s="8"/>
      <c r="V38" s="8"/>
      <c r="W38" s="8"/>
      <c r="X38" s="8"/>
      <c r="Y38" s="8"/>
      <c r="Z38" s="8"/>
      <c r="AA38" s="8"/>
      <c r="AB38" s="8"/>
      <c r="AC38" s="8"/>
      <c r="AD38" s="8"/>
      <c r="AE38" s="8"/>
    </row>
    <row r="39" spans="2:33" s="2" customFormat="1" x14ac:dyDescent="0.35">
      <c r="B39" s="170" t="s">
        <v>279</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4"/>
      <c r="AG39" s="4"/>
    </row>
    <row r="40" spans="2:33" s="2" customFormat="1" x14ac:dyDescent="0.35">
      <c r="B40" s="153" t="s">
        <v>140</v>
      </c>
      <c r="C40" s="153"/>
      <c r="D40" s="153"/>
      <c r="E40" s="153"/>
      <c r="F40" s="153"/>
      <c r="G40" s="153"/>
      <c r="H40" s="153"/>
      <c r="I40" s="153"/>
      <c r="J40" s="153"/>
      <c r="K40" s="153"/>
      <c r="L40" s="153"/>
      <c r="M40" s="153"/>
      <c r="N40" s="153"/>
      <c r="O40" s="153"/>
      <c r="P40" s="153"/>
      <c r="Q40" s="153" t="s">
        <v>121</v>
      </c>
      <c r="R40" s="153"/>
      <c r="S40" s="153"/>
      <c r="T40" s="153"/>
      <c r="U40" s="153"/>
      <c r="V40" s="153"/>
      <c r="W40" s="153"/>
      <c r="X40" s="153"/>
      <c r="Y40" s="153"/>
      <c r="Z40" s="153"/>
      <c r="AA40" s="153"/>
      <c r="AB40" s="153"/>
      <c r="AC40" s="153"/>
      <c r="AD40" s="153"/>
      <c r="AE40" s="153"/>
      <c r="AF40" s="1"/>
      <c r="AG40" s="3"/>
    </row>
    <row r="41" spans="2:33" s="2" customFormat="1" ht="15.65" customHeight="1" x14ac:dyDescent="0.3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
      <c r="AG41" s="3"/>
    </row>
    <row r="42" spans="2:33" s="2" customFormat="1" x14ac:dyDescent="0.35">
      <c r="B42" s="190">
        <v>2</v>
      </c>
      <c r="C42" s="188"/>
      <c r="D42" s="188"/>
      <c r="E42" s="188"/>
      <c r="F42" s="188"/>
      <c r="G42" s="188"/>
      <c r="H42" s="188"/>
      <c r="I42" s="188"/>
      <c r="J42" s="188"/>
      <c r="K42" s="188"/>
      <c r="L42" s="188"/>
      <c r="M42" s="188"/>
      <c r="N42" s="188"/>
      <c r="O42" s="188"/>
      <c r="P42" s="188"/>
      <c r="Q42" s="189">
        <v>27600</v>
      </c>
      <c r="R42" s="189"/>
      <c r="S42" s="189"/>
      <c r="T42" s="189"/>
      <c r="U42" s="189"/>
      <c r="V42" s="189"/>
      <c r="W42" s="189"/>
      <c r="X42" s="189"/>
      <c r="Y42" s="189"/>
      <c r="Z42" s="189"/>
      <c r="AA42" s="189"/>
      <c r="AB42" s="189"/>
      <c r="AC42" s="189"/>
      <c r="AD42" s="189"/>
      <c r="AE42" s="189"/>
      <c r="AF42" s="1"/>
      <c r="AG42" s="3"/>
    </row>
    <row r="43" spans="2:33" s="2" customFormat="1" x14ac:dyDescent="0.35">
      <c r="B43" s="190">
        <v>3</v>
      </c>
      <c r="C43" s="188"/>
      <c r="D43" s="188"/>
      <c r="E43" s="188"/>
      <c r="F43" s="188"/>
      <c r="G43" s="188"/>
      <c r="H43" s="188"/>
      <c r="I43" s="188"/>
      <c r="J43" s="188"/>
      <c r="K43" s="188"/>
      <c r="L43" s="188"/>
      <c r="M43" s="188"/>
      <c r="N43" s="188"/>
      <c r="O43" s="188"/>
      <c r="P43" s="188"/>
      <c r="Q43" s="189">
        <v>34350</v>
      </c>
      <c r="R43" s="189"/>
      <c r="S43" s="189"/>
      <c r="T43" s="189"/>
      <c r="U43" s="189"/>
      <c r="V43" s="189"/>
      <c r="W43" s="189"/>
      <c r="X43" s="189"/>
      <c r="Y43" s="189"/>
      <c r="Z43" s="189"/>
      <c r="AA43" s="189"/>
      <c r="AB43" s="189"/>
      <c r="AC43" s="189"/>
      <c r="AD43" s="189"/>
      <c r="AE43" s="189"/>
      <c r="AF43" s="1"/>
      <c r="AG43" s="3"/>
    </row>
    <row r="44" spans="2:33" s="2" customFormat="1" x14ac:dyDescent="0.35">
      <c r="B44" s="190">
        <v>4</v>
      </c>
      <c r="C44" s="188"/>
      <c r="D44" s="188"/>
      <c r="E44" s="188"/>
      <c r="F44" s="188"/>
      <c r="G44" s="188"/>
      <c r="H44" s="188"/>
      <c r="I44" s="188"/>
      <c r="J44" s="188"/>
      <c r="K44" s="188"/>
      <c r="L44" s="188"/>
      <c r="M44" s="188"/>
      <c r="N44" s="188"/>
      <c r="O44" s="188"/>
      <c r="P44" s="188"/>
      <c r="Q44" s="189">
        <v>42430</v>
      </c>
      <c r="R44" s="189"/>
      <c r="S44" s="189"/>
      <c r="T44" s="189"/>
      <c r="U44" s="189"/>
      <c r="V44" s="189"/>
      <c r="W44" s="189"/>
      <c r="X44" s="189"/>
      <c r="Y44" s="189"/>
      <c r="Z44" s="189"/>
      <c r="AA44" s="189"/>
      <c r="AB44" s="189"/>
      <c r="AC44" s="189"/>
      <c r="AD44" s="189"/>
      <c r="AE44" s="189"/>
      <c r="AF44" s="1"/>
      <c r="AG44" s="3"/>
    </row>
    <row r="45" spans="2:33" s="2" customFormat="1" x14ac:dyDescent="0.35">
      <c r="B45" s="190">
        <v>5</v>
      </c>
      <c r="C45" s="188"/>
      <c r="D45" s="188"/>
      <c r="E45" s="188"/>
      <c r="F45" s="188"/>
      <c r="G45" s="188"/>
      <c r="H45" s="188"/>
      <c r="I45" s="188"/>
      <c r="J45" s="188"/>
      <c r="K45" s="188"/>
      <c r="L45" s="188"/>
      <c r="M45" s="188"/>
      <c r="N45" s="188"/>
      <c r="O45" s="188"/>
      <c r="P45" s="188"/>
      <c r="Q45" s="189">
        <v>50060</v>
      </c>
      <c r="R45" s="189"/>
      <c r="S45" s="189"/>
      <c r="T45" s="189"/>
      <c r="U45" s="189"/>
      <c r="V45" s="189"/>
      <c r="W45" s="189"/>
      <c r="X45" s="189"/>
      <c r="Y45" s="189"/>
      <c r="Z45" s="189"/>
      <c r="AA45" s="189"/>
      <c r="AB45" s="189"/>
      <c r="AC45" s="189"/>
      <c r="AD45" s="189"/>
      <c r="AE45" s="189"/>
      <c r="AF45" s="1"/>
      <c r="AG45" s="3"/>
    </row>
    <row r="46" spans="2:33" s="2" customFormat="1" x14ac:dyDescent="0.35">
      <c r="B46" s="190">
        <v>6</v>
      </c>
      <c r="C46" s="188"/>
      <c r="D46" s="188"/>
      <c r="E46" s="188"/>
      <c r="F46" s="188"/>
      <c r="G46" s="188"/>
      <c r="H46" s="188"/>
      <c r="I46" s="188"/>
      <c r="J46" s="188"/>
      <c r="K46" s="188"/>
      <c r="L46" s="188"/>
      <c r="M46" s="188"/>
      <c r="N46" s="188"/>
      <c r="O46" s="188"/>
      <c r="P46" s="188"/>
      <c r="Q46" s="189">
        <v>58560</v>
      </c>
      <c r="R46" s="189"/>
      <c r="S46" s="189"/>
      <c r="T46" s="189"/>
      <c r="U46" s="189"/>
      <c r="V46" s="189"/>
      <c r="W46" s="189"/>
      <c r="X46" s="189"/>
      <c r="Y46" s="189"/>
      <c r="Z46" s="189"/>
      <c r="AA46" s="189"/>
      <c r="AB46" s="189"/>
      <c r="AC46" s="189"/>
      <c r="AD46" s="189"/>
      <c r="AE46" s="189"/>
      <c r="AF46" s="1"/>
      <c r="AG46" s="3"/>
    </row>
    <row r="47" spans="2:33" s="2" customFormat="1" x14ac:dyDescent="0.35">
      <c r="B47" s="188">
        <f>'Formula A'!Z31</f>
        <v>3</v>
      </c>
      <c r="C47" s="188"/>
      <c r="D47" s="188"/>
      <c r="E47" s="188"/>
      <c r="F47" s="188"/>
      <c r="G47" s="188"/>
      <c r="H47" s="188"/>
      <c r="I47" s="188"/>
      <c r="J47" s="188"/>
      <c r="K47" s="188"/>
      <c r="L47" s="188"/>
      <c r="M47" s="188"/>
      <c r="N47" s="188"/>
      <c r="O47" s="188"/>
      <c r="P47" s="188"/>
      <c r="Q47" s="189">
        <f>Q46+((B47-B46)*6610)</f>
        <v>38730</v>
      </c>
      <c r="R47" s="189"/>
      <c r="S47" s="189"/>
      <c r="T47" s="189"/>
      <c r="U47" s="189"/>
      <c r="V47" s="189"/>
      <c r="W47" s="189"/>
      <c r="X47" s="189"/>
      <c r="Y47" s="189"/>
      <c r="Z47" s="189"/>
      <c r="AA47" s="189"/>
      <c r="AB47" s="189"/>
      <c r="AC47" s="189"/>
      <c r="AD47" s="189"/>
      <c r="AE47" s="189"/>
      <c r="AF47" s="1"/>
      <c r="AG47" s="3"/>
    </row>
    <row r="49" spans="2:31" x14ac:dyDescent="0.35">
      <c r="B49" s="170" t="s">
        <v>182</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row>
    <row r="50" spans="2:31" x14ac:dyDescent="0.35">
      <c r="B50" s="153" t="s">
        <v>144</v>
      </c>
      <c r="C50" s="153"/>
      <c r="D50" s="153"/>
      <c r="E50" s="153"/>
      <c r="F50" s="153"/>
      <c r="G50" s="153"/>
      <c r="H50" s="153"/>
      <c r="I50" s="153"/>
      <c r="J50" s="153"/>
      <c r="K50" s="153"/>
      <c r="L50" s="153"/>
      <c r="M50" s="153"/>
      <c r="N50" s="153"/>
      <c r="O50" s="153"/>
      <c r="P50" s="153"/>
      <c r="Q50" s="153" t="s">
        <v>145</v>
      </c>
      <c r="R50" s="153"/>
      <c r="S50" s="153"/>
      <c r="T50" s="153"/>
      <c r="U50" s="153"/>
      <c r="V50" s="153"/>
      <c r="W50" s="153"/>
      <c r="X50" s="153"/>
      <c r="Y50" s="153"/>
      <c r="Z50" s="153"/>
      <c r="AA50" s="153"/>
      <c r="AB50" s="153"/>
      <c r="AC50" s="153"/>
      <c r="AD50" s="153"/>
      <c r="AE50" s="153"/>
    </row>
    <row r="51" spans="2:31" x14ac:dyDescent="0.35">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row>
    <row r="52" spans="2:31" x14ac:dyDescent="0.35">
      <c r="B52" s="152">
        <v>-10000000000000</v>
      </c>
      <c r="C52" s="152"/>
      <c r="D52" s="152"/>
      <c r="E52" s="152"/>
      <c r="F52" s="152"/>
      <c r="G52" s="152"/>
      <c r="H52" s="152"/>
      <c r="I52" s="152"/>
      <c r="J52" s="152"/>
      <c r="K52" s="152"/>
      <c r="L52" s="152"/>
      <c r="M52" s="152"/>
      <c r="N52" s="152"/>
      <c r="O52" s="152"/>
      <c r="P52" s="152"/>
      <c r="Q52" s="151">
        <v>0</v>
      </c>
      <c r="R52" s="151"/>
      <c r="S52" s="151"/>
      <c r="T52" s="151"/>
      <c r="U52" s="151"/>
      <c r="V52" s="151"/>
      <c r="W52" s="151"/>
      <c r="X52" s="151"/>
      <c r="Y52" s="151"/>
      <c r="Z52" s="151"/>
      <c r="AA52" s="151"/>
      <c r="AB52" s="151"/>
      <c r="AC52" s="151"/>
      <c r="AD52" s="151"/>
      <c r="AE52" s="151"/>
    </row>
    <row r="53" spans="2:31" x14ac:dyDescent="0.35">
      <c r="B53" s="152">
        <v>1</v>
      </c>
      <c r="C53" s="152"/>
      <c r="D53" s="152"/>
      <c r="E53" s="152"/>
      <c r="F53" s="152"/>
      <c r="G53" s="152"/>
      <c r="H53" s="152"/>
      <c r="I53" s="152"/>
      <c r="J53" s="152"/>
      <c r="K53" s="152"/>
      <c r="L53" s="152"/>
      <c r="M53" s="152"/>
      <c r="N53" s="152"/>
      <c r="O53" s="152"/>
      <c r="P53" s="152"/>
      <c r="Q53" s="151">
        <f>0.4*'Formula A'!AA52</f>
        <v>0</v>
      </c>
      <c r="R53" s="151"/>
      <c r="S53" s="151"/>
      <c r="T53" s="151"/>
      <c r="U53" s="151"/>
      <c r="V53" s="151"/>
      <c r="W53" s="151"/>
      <c r="X53" s="151"/>
      <c r="Y53" s="151"/>
      <c r="Z53" s="151"/>
      <c r="AA53" s="151"/>
      <c r="AB53" s="151"/>
      <c r="AC53" s="151"/>
      <c r="AD53" s="151"/>
      <c r="AE53" s="151"/>
    </row>
    <row r="54" spans="2:31" x14ac:dyDescent="0.35">
      <c r="B54" s="152">
        <v>165001</v>
      </c>
      <c r="C54" s="152"/>
      <c r="D54" s="152"/>
      <c r="E54" s="152"/>
      <c r="F54" s="152"/>
      <c r="G54" s="152"/>
      <c r="H54" s="152"/>
      <c r="I54" s="152"/>
      <c r="J54" s="152"/>
      <c r="K54" s="152"/>
      <c r="L54" s="152"/>
      <c r="M54" s="152"/>
      <c r="N54" s="152"/>
      <c r="O54" s="152"/>
      <c r="P54" s="152"/>
      <c r="Q54" s="151">
        <f>66000+(('Formula A'!AA52-165000)*0.5)</f>
        <v>-16500</v>
      </c>
      <c r="R54" s="151"/>
      <c r="S54" s="151"/>
      <c r="T54" s="151"/>
      <c r="U54" s="151"/>
      <c r="V54" s="151"/>
      <c r="W54" s="151"/>
      <c r="X54" s="151"/>
      <c r="Y54" s="151"/>
      <c r="Z54" s="151"/>
      <c r="AA54" s="151"/>
      <c r="AB54" s="151"/>
      <c r="AC54" s="151"/>
      <c r="AD54" s="151"/>
      <c r="AE54" s="151"/>
    </row>
    <row r="55" spans="2:31" x14ac:dyDescent="0.35">
      <c r="B55" s="152">
        <v>490001</v>
      </c>
      <c r="C55" s="152"/>
      <c r="D55" s="152"/>
      <c r="E55" s="152"/>
      <c r="F55" s="152"/>
      <c r="G55" s="152"/>
      <c r="H55" s="152"/>
      <c r="I55" s="152"/>
      <c r="J55" s="152"/>
      <c r="K55" s="152"/>
      <c r="L55" s="152"/>
      <c r="M55" s="152"/>
      <c r="N55" s="152"/>
      <c r="O55" s="152"/>
      <c r="P55" s="152"/>
      <c r="Q55" s="151">
        <f>228500+(('Formula A'!AA52-490000)*0.6)</f>
        <v>-65500</v>
      </c>
      <c r="R55" s="151"/>
      <c r="S55" s="151"/>
      <c r="T55" s="151"/>
      <c r="U55" s="151"/>
      <c r="V55" s="151"/>
      <c r="W55" s="151"/>
      <c r="X55" s="151"/>
      <c r="Y55" s="151"/>
      <c r="Z55" s="151"/>
      <c r="AA55" s="151"/>
      <c r="AB55" s="151"/>
      <c r="AC55" s="151"/>
      <c r="AD55" s="151"/>
      <c r="AE55" s="151"/>
    </row>
    <row r="56" spans="2:31" x14ac:dyDescent="0.35">
      <c r="B56" s="152">
        <v>820001</v>
      </c>
      <c r="C56" s="152"/>
      <c r="D56" s="152"/>
      <c r="E56" s="152"/>
      <c r="F56" s="152"/>
      <c r="G56" s="152"/>
      <c r="H56" s="152"/>
      <c r="I56" s="152"/>
      <c r="J56" s="152"/>
      <c r="K56" s="152"/>
      <c r="L56" s="152"/>
      <c r="M56" s="152"/>
      <c r="N56" s="152"/>
      <c r="O56" s="152"/>
      <c r="P56" s="152"/>
      <c r="Q56" s="151">
        <f>426500+('Formula A'!AA52-820000)</f>
        <v>-393500</v>
      </c>
      <c r="R56" s="151"/>
      <c r="S56" s="151"/>
      <c r="T56" s="151"/>
      <c r="U56" s="151"/>
      <c r="V56" s="151"/>
      <c r="W56" s="151"/>
      <c r="X56" s="151"/>
      <c r="Y56" s="151"/>
      <c r="Z56" s="151"/>
      <c r="AA56" s="151"/>
      <c r="AB56" s="151"/>
      <c r="AC56" s="151"/>
      <c r="AD56" s="151"/>
      <c r="AE56" s="151"/>
    </row>
    <row r="58" spans="2:31" x14ac:dyDescent="0.35">
      <c r="B58" s="170" t="s">
        <v>183</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row>
    <row r="59" spans="2:31" x14ac:dyDescent="0.35">
      <c r="B59" s="153" t="s">
        <v>144</v>
      </c>
      <c r="C59" s="153"/>
      <c r="D59" s="153"/>
      <c r="E59" s="153"/>
      <c r="F59" s="153"/>
      <c r="G59" s="153"/>
      <c r="H59" s="153"/>
      <c r="I59" s="153"/>
      <c r="J59" s="153"/>
      <c r="K59" s="153"/>
      <c r="L59" s="153"/>
      <c r="M59" s="153"/>
      <c r="N59" s="153"/>
      <c r="O59" s="153"/>
      <c r="P59" s="153"/>
      <c r="Q59" s="153" t="s">
        <v>145</v>
      </c>
      <c r="R59" s="153"/>
      <c r="S59" s="153"/>
      <c r="T59" s="153"/>
      <c r="U59" s="153"/>
      <c r="V59" s="153"/>
      <c r="W59" s="153"/>
      <c r="X59" s="153"/>
      <c r="Y59" s="153"/>
      <c r="Z59" s="153"/>
      <c r="AA59" s="153"/>
      <c r="AB59" s="153"/>
      <c r="AC59" s="153"/>
      <c r="AD59" s="153"/>
      <c r="AE59" s="153"/>
    </row>
    <row r="60" spans="2:31" x14ac:dyDescent="0.3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row>
    <row r="61" spans="2:31" x14ac:dyDescent="0.35">
      <c r="B61" s="152">
        <v>-10000000000000</v>
      </c>
      <c r="C61" s="152"/>
      <c r="D61" s="152"/>
      <c r="E61" s="152"/>
      <c r="F61" s="152"/>
      <c r="G61" s="152"/>
      <c r="H61" s="152"/>
      <c r="I61" s="152"/>
      <c r="J61" s="152"/>
      <c r="K61" s="152"/>
      <c r="L61" s="152"/>
      <c r="M61" s="152"/>
      <c r="N61" s="152"/>
      <c r="O61" s="152"/>
      <c r="P61" s="152"/>
      <c r="Q61" s="151">
        <v>0</v>
      </c>
      <c r="R61" s="151"/>
      <c r="S61" s="151"/>
      <c r="T61" s="151"/>
      <c r="U61" s="151"/>
      <c r="V61" s="151"/>
      <c r="W61" s="151"/>
      <c r="X61" s="151"/>
      <c r="Y61" s="151"/>
      <c r="Z61" s="151"/>
      <c r="AA61" s="151"/>
      <c r="AB61" s="151"/>
      <c r="AC61" s="151"/>
      <c r="AD61" s="151"/>
      <c r="AE61" s="151"/>
    </row>
    <row r="62" spans="2:31" x14ac:dyDescent="0.35">
      <c r="B62" s="152">
        <v>1</v>
      </c>
      <c r="C62" s="152"/>
      <c r="D62" s="152"/>
      <c r="E62" s="152"/>
      <c r="F62" s="152"/>
      <c r="G62" s="152"/>
      <c r="H62" s="152"/>
      <c r="I62" s="152"/>
      <c r="J62" s="152"/>
      <c r="K62" s="152"/>
      <c r="L62" s="152"/>
      <c r="M62" s="152"/>
      <c r="N62" s="152"/>
      <c r="O62" s="152"/>
      <c r="P62" s="152"/>
      <c r="Q62" s="151">
        <f>0.4*'Formula A'!AA116</f>
        <v>0</v>
      </c>
      <c r="R62" s="151"/>
      <c r="S62" s="151"/>
      <c r="T62" s="151"/>
      <c r="U62" s="151"/>
      <c r="V62" s="151"/>
      <c r="W62" s="151"/>
      <c r="X62" s="151"/>
      <c r="Y62" s="151"/>
      <c r="Z62" s="151"/>
      <c r="AA62" s="151"/>
      <c r="AB62" s="151"/>
      <c r="AC62" s="151"/>
      <c r="AD62" s="151"/>
      <c r="AE62" s="151"/>
    </row>
    <row r="63" spans="2:31" x14ac:dyDescent="0.35">
      <c r="B63" s="152">
        <v>165001</v>
      </c>
      <c r="C63" s="152"/>
      <c r="D63" s="152"/>
      <c r="E63" s="152"/>
      <c r="F63" s="152"/>
      <c r="G63" s="152"/>
      <c r="H63" s="152"/>
      <c r="I63" s="152"/>
      <c r="J63" s="152"/>
      <c r="K63" s="152"/>
      <c r="L63" s="152"/>
      <c r="M63" s="152"/>
      <c r="N63" s="152"/>
      <c r="O63" s="152"/>
      <c r="P63" s="152"/>
      <c r="Q63" s="151">
        <f>66000+(('Formula A'!AA116-165000)*0.5)</f>
        <v>-16500</v>
      </c>
      <c r="R63" s="151"/>
      <c r="S63" s="151"/>
      <c r="T63" s="151"/>
      <c r="U63" s="151"/>
      <c r="V63" s="151"/>
      <c r="W63" s="151"/>
      <c r="X63" s="151"/>
      <c r="Y63" s="151"/>
      <c r="Z63" s="151"/>
      <c r="AA63" s="151"/>
      <c r="AB63" s="151"/>
      <c r="AC63" s="151"/>
      <c r="AD63" s="151"/>
      <c r="AE63" s="151"/>
    </row>
    <row r="64" spans="2:31" x14ac:dyDescent="0.35">
      <c r="B64" s="152">
        <v>490001</v>
      </c>
      <c r="C64" s="152"/>
      <c r="D64" s="152"/>
      <c r="E64" s="152"/>
      <c r="F64" s="152"/>
      <c r="G64" s="152"/>
      <c r="H64" s="152"/>
      <c r="I64" s="152"/>
      <c r="J64" s="152"/>
      <c r="K64" s="152"/>
      <c r="L64" s="152"/>
      <c r="M64" s="152"/>
      <c r="N64" s="152"/>
      <c r="O64" s="152"/>
      <c r="P64" s="152"/>
      <c r="Q64" s="151">
        <f>228500+(('Formula A'!AA116-490000)*0.6)</f>
        <v>-65500</v>
      </c>
      <c r="R64" s="151"/>
      <c r="S64" s="151"/>
      <c r="T64" s="151"/>
      <c r="U64" s="151"/>
      <c r="V64" s="151"/>
      <c r="W64" s="151"/>
      <c r="X64" s="151"/>
      <c r="Y64" s="151"/>
      <c r="Z64" s="151"/>
      <c r="AA64" s="151"/>
      <c r="AB64" s="151"/>
      <c r="AC64" s="151"/>
      <c r="AD64" s="151"/>
      <c r="AE64" s="151"/>
    </row>
    <row r="65" spans="2:31" x14ac:dyDescent="0.35">
      <c r="B65" s="152">
        <v>820001</v>
      </c>
      <c r="C65" s="152"/>
      <c r="D65" s="152"/>
      <c r="E65" s="152"/>
      <c r="F65" s="152"/>
      <c r="G65" s="152"/>
      <c r="H65" s="152"/>
      <c r="I65" s="152"/>
      <c r="J65" s="152"/>
      <c r="K65" s="152"/>
      <c r="L65" s="152"/>
      <c r="M65" s="152"/>
      <c r="N65" s="152"/>
      <c r="O65" s="152"/>
      <c r="P65" s="152"/>
      <c r="Q65" s="151">
        <f>426500+('Formula A'!AA116-820000)</f>
        <v>-393500</v>
      </c>
      <c r="R65" s="151"/>
      <c r="S65" s="151"/>
      <c r="T65" s="151"/>
      <c r="U65" s="151"/>
      <c r="V65" s="151"/>
      <c r="W65" s="151"/>
      <c r="X65" s="151"/>
      <c r="Y65" s="151"/>
      <c r="Z65" s="151"/>
      <c r="AA65" s="151"/>
      <c r="AB65" s="151"/>
      <c r="AC65" s="151"/>
      <c r="AD65" s="151"/>
      <c r="AE65" s="151"/>
    </row>
    <row r="67" spans="2:31" x14ac:dyDescent="0.35">
      <c r="B67" s="170" t="s">
        <v>171</v>
      </c>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row>
    <row r="68" spans="2:31" ht="14.4" customHeight="1" x14ac:dyDescent="0.35">
      <c r="B68" s="171" t="s">
        <v>173</v>
      </c>
      <c r="C68" s="171"/>
      <c r="D68" s="171"/>
      <c r="E68" s="171"/>
      <c r="F68" s="172"/>
      <c r="G68" s="171" t="s">
        <v>172</v>
      </c>
      <c r="H68" s="171"/>
      <c r="I68" s="171"/>
      <c r="J68" s="171"/>
      <c r="K68" s="172"/>
      <c r="L68" s="171" t="s">
        <v>174</v>
      </c>
      <c r="M68" s="171"/>
      <c r="N68" s="171"/>
      <c r="O68" s="171"/>
      <c r="P68" s="172"/>
      <c r="Q68" s="171" t="s">
        <v>173</v>
      </c>
      <c r="R68" s="171"/>
      <c r="S68" s="171"/>
      <c r="T68" s="171"/>
      <c r="U68" s="172"/>
      <c r="V68" s="171" t="s">
        <v>172</v>
      </c>
      <c r="W68" s="171"/>
      <c r="X68" s="171"/>
      <c r="Y68" s="171"/>
      <c r="Z68" s="172"/>
      <c r="AA68" s="171" t="s">
        <v>174</v>
      </c>
      <c r="AB68" s="171"/>
      <c r="AC68" s="171"/>
      <c r="AD68" s="171"/>
      <c r="AE68" s="172"/>
    </row>
    <row r="69" spans="2:31" ht="14.4" customHeight="1" x14ac:dyDescent="0.35">
      <c r="B69" s="173"/>
      <c r="C69" s="173"/>
      <c r="D69" s="173"/>
      <c r="E69" s="173"/>
      <c r="F69" s="174"/>
      <c r="G69" s="173"/>
      <c r="H69" s="173"/>
      <c r="I69" s="173"/>
      <c r="J69" s="173"/>
      <c r="K69" s="174"/>
      <c r="L69" s="173"/>
      <c r="M69" s="173"/>
      <c r="N69" s="173"/>
      <c r="O69" s="173"/>
      <c r="P69" s="174"/>
      <c r="Q69" s="173"/>
      <c r="R69" s="173"/>
      <c r="S69" s="173"/>
      <c r="T69" s="173"/>
      <c r="U69" s="174"/>
      <c r="V69" s="173"/>
      <c r="W69" s="173"/>
      <c r="X69" s="173"/>
      <c r="Y69" s="173"/>
      <c r="Z69" s="174"/>
      <c r="AA69" s="173"/>
      <c r="AB69" s="173"/>
      <c r="AC69" s="173"/>
      <c r="AD69" s="173"/>
      <c r="AE69" s="174"/>
    </row>
    <row r="70" spans="2:31" ht="14.4" customHeight="1" x14ac:dyDescent="0.35">
      <c r="B70" s="173"/>
      <c r="C70" s="173"/>
      <c r="D70" s="173"/>
      <c r="E70" s="173"/>
      <c r="F70" s="174"/>
      <c r="G70" s="173"/>
      <c r="H70" s="173"/>
      <c r="I70" s="173"/>
      <c r="J70" s="173"/>
      <c r="K70" s="174"/>
      <c r="L70" s="173"/>
      <c r="M70" s="173"/>
      <c r="N70" s="173"/>
      <c r="O70" s="173"/>
      <c r="P70" s="174"/>
      <c r="Q70" s="173"/>
      <c r="R70" s="173"/>
      <c r="S70" s="173"/>
      <c r="T70" s="173"/>
      <c r="U70" s="174"/>
      <c r="V70" s="173"/>
      <c r="W70" s="173"/>
      <c r="X70" s="173"/>
      <c r="Y70" s="173"/>
      <c r="Z70" s="174"/>
      <c r="AA70" s="173"/>
      <c r="AB70" s="173"/>
      <c r="AC70" s="173"/>
      <c r="AD70" s="173"/>
      <c r="AE70" s="174"/>
    </row>
    <row r="71" spans="2:31" x14ac:dyDescent="0.35">
      <c r="B71" s="173"/>
      <c r="C71" s="173"/>
      <c r="D71" s="173"/>
      <c r="E71" s="173"/>
      <c r="F71" s="174"/>
      <c r="G71" s="173"/>
      <c r="H71" s="173"/>
      <c r="I71" s="173"/>
      <c r="J71" s="173"/>
      <c r="K71" s="174"/>
      <c r="L71" s="173"/>
      <c r="M71" s="173"/>
      <c r="N71" s="173"/>
      <c r="O71" s="173"/>
      <c r="P71" s="174"/>
      <c r="Q71" s="173"/>
      <c r="R71" s="173"/>
      <c r="S71" s="173"/>
      <c r="T71" s="173"/>
      <c r="U71" s="174"/>
      <c r="V71" s="173"/>
      <c r="W71" s="173"/>
      <c r="X71" s="173"/>
      <c r="Y71" s="173"/>
      <c r="Z71" s="174"/>
      <c r="AA71" s="173"/>
      <c r="AB71" s="173"/>
      <c r="AC71" s="173"/>
      <c r="AD71" s="173"/>
      <c r="AE71" s="174"/>
    </row>
    <row r="72" spans="2:31" x14ac:dyDescent="0.35">
      <c r="B72" s="157" t="s">
        <v>176</v>
      </c>
      <c r="C72" s="157"/>
      <c r="D72" s="157"/>
      <c r="E72" s="157"/>
      <c r="F72" s="157"/>
      <c r="G72" s="154">
        <v>0</v>
      </c>
      <c r="H72" s="154"/>
      <c r="I72" s="154"/>
      <c r="J72" s="154"/>
      <c r="K72" s="154"/>
      <c r="L72" s="154">
        <v>0</v>
      </c>
      <c r="M72" s="154"/>
      <c r="N72" s="154"/>
      <c r="O72" s="154"/>
      <c r="P72" s="154"/>
      <c r="Q72" s="157">
        <v>46</v>
      </c>
      <c r="R72" s="157"/>
      <c r="S72" s="157"/>
      <c r="T72" s="157"/>
      <c r="U72" s="157"/>
      <c r="V72" s="154">
        <v>0</v>
      </c>
      <c r="W72" s="154"/>
      <c r="X72" s="154"/>
      <c r="Y72" s="154"/>
      <c r="Z72" s="154"/>
      <c r="AA72" s="154">
        <v>0</v>
      </c>
      <c r="AB72" s="154"/>
      <c r="AC72" s="154"/>
      <c r="AD72" s="154"/>
      <c r="AE72" s="154"/>
    </row>
    <row r="73" spans="2:31" x14ac:dyDescent="0.35">
      <c r="B73" s="157">
        <v>26</v>
      </c>
      <c r="C73" s="157"/>
      <c r="D73" s="157"/>
      <c r="E73" s="157"/>
      <c r="F73" s="157"/>
      <c r="G73" s="154">
        <v>0</v>
      </c>
      <c r="H73" s="154"/>
      <c r="I73" s="154"/>
      <c r="J73" s="154"/>
      <c r="K73" s="154"/>
      <c r="L73" s="154">
        <v>0</v>
      </c>
      <c r="M73" s="154"/>
      <c r="N73" s="154"/>
      <c r="O73" s="154"/>
      <c r="P73" s="154"/>
      <c r="Q73" s="157">
        <v>47</v>
      </c>
      <c r="R73" s="157"/>
      <c r="S73" s="157"/>
      <c r="T73" s="157"/>
      <c r="U73" s="157"/>
      <c r="V73" s="154">
        <v>0</v>
      </c>
      <c r="W73" s="154"/>
      <c r="X73" s="154"/>
      <c r="Y73" s="154"/>
      <c r="Z73" s="154"/>
      <c r="AA73" s="154">
        <v>0</v>
      </c>
      <c r="AB73" s="154"/>
      <c r="AC73" s="154"/>
      <c r="AD73" s="154"/>
      <c r="AE73" s="154"/>
    </row>
    <row r="74" spans="2:31" x14ac:dyDescent="0.35">
      <c r="B74" s="157">
        <v>27</v>
      </c>
      <c r="C74" s="157"/>
      <c r="D74" s="157"/>
      <c r="E74" s="157"/>
      <c r="F74" s="157"/>
      <c r="G74" s="154">
        <v>0</v>
      </c>
      <c r="H74" s="154"/>
      <c r="I74" s="154"/>
      <c r="J74" s="154"/>
      <c r="K74" s="154"/>
      <c r="L74" s="154">
        <v>0</v>
      </c>
      <c r="M74" s="154"/>
      <c r="N74" s="154"/>
      <c r="O74" s="154"/>
      <c r="P74" s="154"/>
      <c r="Q74" s="157">
        <v>48</v>
      </c>
      <c r="R74" s="157"/>
      <c r="S74" s="157"/>
      <c r="T74" s="157"/>
      <c r="U74" s="157"/>
      <c r="V74" s="154">
        <v>0</v>
      </c>
      <c r="W74" s="154"/>
      <c r="X74" s="154"/>
      <c r="Y74" s="154"/>
      <c r="Z74" s="154"/>
      <c r="AA74" s="154">
        <v>0</v>
      </c>
      <c r="AB74" s="154"/>
      <c r="AC74" s="154"/>
      <c r="AD74" s="154"/>
      <c r="AE74" s="154"/>
    </row>
    <row r="75" spans="2:31" x14ac:dyDescent="0.35">
      <c r="B75" s="157">
        <v>28</v>
      </c>
      <c r="C75" s="157"/>
      <c r="D75" s="157"/>
      <c r="E75" s="157"/>
      <c r="F75" s="157"/>
      <c r="G75" s="154">
        <v>0</v>
      </c>
      <c r="H75" s="154"/>
      <c r="I75" s="154"/>
      <c r="J75" s="154"/>
      <c r="K75" s="154"/>
      <c r="L75" s="154">
        <v>0</v>
      </c>
      <c r="M75" s="154"/>
      <c r="N75" s="154"/>
      <c r="O75" s="154"/>
      <c r="P75" s="154"/>
      <c r="Q75" s="157">
        <v>49</v>
      </c>
      <c r="R75" s="157"/>
      <c r="S75" s="157"/>
      <c r="T75" s="157"/>
      <c r="U75" s="157"/>
      <c r="V75" s="154">
        <v>0</v>
      </c>
      <c r="W75" s="154"/>
      <c r="X75" s="154"/>
      <c r="Y75" s="154"/>
      <c r="Z75" s="154"/>
      <c r="AA75" s="154">
        <v>0</v>
      </c>
      <c r="AB75" s="154"/>
      <c r="AC75" s="154"/>
      <c r="AD75" s="154"/>
      <c r="AE75" s="154"/>
    </row>
    <row r="76" spans="2:31" x14ac:dyDescent="0.35">
      <c r="B76" s="157">
        <v>29</v>
      </c>
      <c r="C76" s="157"/>
      <c r="D76" s="157"/>
      <c r="E76" s="157"/>
      <c r="F76" s="157"/>
      <c r="G76" s="154">
        <v>0</v>
      </c>
      <c r="H76" s="154"/>
      <c r="I76" s="154"/>
      <c r="J76" s="154"/>
      <c r="K76" s="154"/>
      <c r="L76" s="154">
        <v>0</v>
      </c>
      <c r="M76" s="154"/>
      <c r="N76" s="154"/>
      <c r="O76" s="154"/>
      <c r="P76" s="154"/>
      <c r="Q76" s="157">
        <v>50</v>
      </c>
      <c r="R76" s="157"/>
      <c r="S76" s="157"/>
      <c r="T76" s="157"/>
      <c r="U76" s="157"/>
      <c r="V76" s="154">
        <v>0</v>
      </c>
      <c r="W76" s="154"/>
      <c r="X76" s="154"/>
      <c r="Y76" s="154"/>
      <c r="Z76" s="154"/>
      <c r="AA76" s="154">
        <v>0</v>
      </c>
      <c r="AB76" s="154"/>
      <c r="AC76" s="154"/>
      <c r="AD76" s="154"/>
      <c r="AE76" s="154"/>
    </row>
    <row r="77" spans="2:31" x14ac:dyDescent="0.35">
      <c r="B77" s="157">
        <v>30</v>
      </c>
      <c r="C77" s="157"/>
      <c r="D77" s="157"/>
      <c r="E77" s="157"/>
      <c r="F77" s="157"/>
      <c r="G77" s="154">
        <v>0</v>
      </c>
      <c r="H77" s="154"/>
      <c r="I77" s="154"/>
      <c r="J77" s="154"/>
      <c r="K77" s="154"/>
      <c r="L77" s="154">
        <v>0</v>
      </c>
      <c r="M77" s="154"/>
      <c r="N77" s="154"/>
      <c r="O77" s="154"/>
      <c r="P77" s="154"/>
      <c r="Q77" s="157">
        <v>51</v>
      </c>
      <c r="R77" s="157"/>
      <c r="S77" s="157"/>
      <c r="T77" s="157"/>
      <c r="U77" s="157"/>
      <c r="V77" s="154">
        <v>0</v>
      </c>
      <c r="W77" s="154"/>
      <c r="X77" s="154"/>
      <c r="Y77" s="154"/>
      <c r="Z77" s="154"/>
      <c r="AA77" s="154">
        <v>0</v>
      </c>
      <c r="AB77" s="154"/>
      <c r="AC77" s="154"/>
      <c r="AD77" s="154"/>
      <c r="AE77" s="154"/>
    </row>
    <row r="78" spans="2:31" x14ac:dyDescent="0.35">
      <c r="B78" s="157">
        <v>31</v>
      </c>
      <c r="C78" s="157"/>
      <c r="D78" s="157"/>
      <c r="E78" s="157"/>
      <c r="F78" s="157"/>
      <c r="G78" s="154">
        <v>0</v>
      </c>
      <c r="H78" s="154"/>
      <c r="I78" s="154"/>
      <c r="J78" s="154"/>
      <c r="K78" s="154"/>
      <c r="L78" s="154">
        <v>0</v>
      </c>
      <c r="M78" s="154"/>
      <c r="N78" s="154"/>
      <c r="O78" s="154"/>
      <c r="P78" s="154"/>
      <c r="Q78" s="157">
        <v>52</v>
      </c>
      <c r="R78" s="157"/>
      <c r="S78" s="157"/>
      <c r="T78" s="157"/>
      <c r="U78" s="157"/>
      <c r="V78" s="154">
        <v>0</v>
      </c>
      <c r="W78" s="154"/>
      <c r="X78" s="154"/>
      <c r="Y78" s="154"/>
      <c r="Z78" s="154"/>
      <c r="AA78" s="154">
        <v>0</v>
      </c>
      <c r="AB78" s="154"/>
      <c r="AC78" s="154"/>
      <c r="AD78" s="154"/>
      <c r="AE78" s="154"/>
    </row>
    <row r="79" spans="2:31" x14ac:dyDescent="0.35">
      <c r="B79" s="157">
        <v>32</v>
      </c>
      <c r="C79" s="157"/>
      <c r="D79" s="157"/>
      <c r="E79" s="157"/>
      <c r="F79" s="157"/>
      <c r="G79" s="154">
        <v>0</v>
      </c>
      <c r="H79" s="154"/>
      <c r="I79" s="154"/>
      <c r="J79" s="154"/>
      <c r="K79" s="154"/>
      <c r="L79" s="154">
        <v>0</v>
      </c>
      <c r="M79" s="154"/>
      <c r="N79" s="154"/>
      <c r="O79" s="154"/>
      <c r="P79" s="154"/>
      <c r="Q79" s="157">
        <v>53</v>
      </c>
      <c r="R79" s="157"/>
      <c r="S79" s="157"/>
      <c r="T79" s="157"/>
      <c r="U79" s="157"/>
      <c r="V79" s="154">
        <v>0</v>
      </c>
      <c r="W79" s="154"/>
      <c r="X79" s="154"/>
      <c r="Y79" s="154"/>
      <c r="Z79" s="154"/>
      <c r="AA79" s="154">
        <v>0</v>
      </c>
      <c r="AB79" s="154"/>
      <c r="AC79" s="154"/>
      <c r="AD79" s="154"/>
      <c r="AE79" s="154"/>
    </row>
    <row r="80" spans="2:31" x14ac:dyDescent="0.35">
      <c r="B80" s="157">
        <v>33</v>
      </c>
      <c r="C80" s="157"/>
      <c r="D80" s="157"/>
      <c r="E80" s="157"/>
      <c r="F80" s="157"/>
      <c r="G80" s="154">
        <v>0</v>
      </c>
      <c r="H80" s="154"/>
      <c r="I80" s="154"/>
      <c r="J80" s="154"/>
      <c r="K80" s="154"/>
      <c r="L80" s="154">
        <v>0</v>
      </c>
      <c r="M80" s="154"/>
      <c r="N80" s="154"/>
      <c r="O80" s="154"/>
      <c r="P80" s="154"/>
      <c r="Q80" s="157">
        <v>54</v>
      </c>
      <c r="R80" s="157"/>
      <c r="S80" s="157"/>
      <c r="T80" s="157"/>
      <c r="U80" s="157"/>
      <c r="V80" s="154">
        <v>0</v>
      </c>
      <c r="W80" s="154"/>
      <c r="X80" s="154"/>
      <c r="Y80" s="154"/>
      <c r="Z80" s="154"/>
      <c r="AA80" s="154">
        <v>0</v>
      </c>
      <c r="AB80" s="154"/>
      <c r="AC80" s="154"/>
      <c r="AD80" s="154"/>
      <c r="AE80" s="154"/>
    </row>
    <row r="81" spans="2:31" x14ac:dyDescent="0.35">
      <c r="B81" s="157">
        <v>34</v>
      </c>
      <c r="C81" s="157"/>
      <c r="D81" s="157"/>
      <c r="E81" s="157"/>
      <c r="F81" s="157"/>
      <c r="G81" s="154">
        <v>0</v>
      </c>
      <c r="H81" s="154"/>
      <c r="I81" s="154"/>
      <c r="J81" s="154"/>
      <c r="K81" s="154"/>
      <c r="L81" s="154">
        <v>0</v>
      </c>
      <c r="M81" s="154"/>
      <c r="N81" s="154"/>
      <c r="O81" s="154"/>
      <c r="P81" s="154"/>
      <c r="Q81" s="157">
        <v>55</v>
      </c>
      <c r="R81" s="157"/>
      <c r="S81" s="157"/>
      <c r="T81" s="157"/>
      <c r="U81" s="157"/>
      <c r="V81" s="154">
        <v>0</v>
      </c>
      <c r="W81" s="154"/>
      <c r="X81" s="154"/>
      <c r="Y81" s="154"/>
      <c r="Z81" s="154"/>
      <c r="AA81" s="154">
        <v>0</v>
      </c>
      <c r="AB81" s="154"/>
      <c r="AC81" s="154"/>
      <c r="AD81" s="154"/>
      <c r="AE81" s="154"/>
    </row>
    <row r="82" spans="2:31" x14ac:dyDescent="0.35">
      <c r="B82" s="157">
        <v>35</v>
      </c>
      <c r="C82" s="157"/>
      <c r="D82" s="157"/>
      <c r="E82" s="157"/>
      <c r="F82" s="157"/>
      <c r="G82" s="154">
        <v>0</v>
      </c>
      <c r="H82" s="154"/>
      <c r="I82" s="154"/>
      <c r="J82" s="154"/>
      <c r="K82" s="154"/>
      <c r="L82" s="154">
        <v>0</v>
      </c>
      <c r="M82" s="154"/>
      <c r="N82" s="154"/>
      <c r="O82" s="154"/>
      <c r="P82" s="154"/>
      <c r="Q82" s="157">
        <v>56</v>
      </c>
      <c r="R82" s="157"/>
      <c r="S82" s="157"/>
      <c r="T82" s="157"/>
      <c r="U82" s="157"/>
      <c r="V82" s="154">
        <v>0</v>
      </c>
      <c r="W82" s="154"/>
      <c r="X82" s="154"/>
      <c r="Y82" s="154"/>
      <c r="Z82" s="154"/>
      <c r="AA82" s="154">
        <v>0</v>
      </c>
      <c r="AB82" s="154"/>
      <c r="AC82" s="154"/>
      <c r="AD82" s="154"/>
      <c r="AE82" s="154"/>
    </row>
    <row r="83" spans="2:31" x14ac:dyDescent="0.35">
      <c r="B83" s="157">
        <v>36</v>
      </c>
      <c r="C83" s="157"/>
      <c r="D83" s="157"/>
      <c r="E83" s="157"/>
      <c r="F83" s="157"/>
      <c r="G83" s="154">
        <v>0</v>
      </c>
      <c r="H83" s="154"/>
      <c r="I83" s="154"/>
      <c r="J83" s="154"/>
      <c r="K83" s="154"/>
      <c r="L83" s="154">
        <v>0</v>
      </c>
      <c r="M83" s="154"/>
      <c r="N83" s="154"/>
      <c r="O83" s="154"/>
      <c r="P83" s="154"/>
      <c r="Q83" s="157">
        <v>57</v>
      </c>
      <c r="R83" s="157"/>
      <c r="S83" s="157"/>
      <c r="T83" s="157"/>
      <c r="U83" s="157"/>
      <c r="V83" s="154">
        <v>0</v>
      </c>
      <c r="W83" s="154"/>
      <c r="X83" s="154"/>
      <c r="Y83" s="154"/>
      <c r="Z83" s="154"/>
      <c r="AA83" s="154">
        <v>0</v>
      </c>
      <c r="AB83" s="154"/>
      <c r="AC83" s="154"/>
      <c r="AD83" s="154"/>
      <c r="AE83" s="154"/>
    </row>
    <row r="84" spans="2:31" x14ac:dyDescent="0.35">
      <c r="B84" s="157">
        <v>37</v>
      </c>
      <c r="C84" s="157"/>
      <c r="D84" s="157"/>
      <c r="E84" s="157"/>
      <c r="F84" s="157"/>
      <c r="G84" s="154">
        <v>0</v>
      </c>
      <c r="H84" s="154"/>
      <c r="I84" s="154"/>
      <c r="J84" s="154"/>
      <c r="K84" s="154"/>
      <c r="L84" s="154">
        <v>0</v>
      </c>
      <c r="M84" s="154"/>
      <c r="N84" s="154"/>
      <c r="O84" s="154"/>
      <c r="P84" s="154"/>
      <c r="Q84" s="157">
        <v>58</v>
      </c>
      <c r="R84" s="157"/>
      <c r="S84" s="157"/>
      <c r="T84" s="157"/>
      <c r="U84" s="157"/>
      <c r="V84" s="154">
        <v>0</v>
      </c>
      <c r="W84" s="154"/>
      <c r="X84" s="154"/>
      <c r="Y84" s="154"/>
      <c r="Z84" s="154"/>
      <c r="AA84" s="154">
        <v>0</v>
      </c>
      <c r="AB84" s="154"/>
      <c r="AC84" s="154"/>
      <c r="AD84" s="154"/>
      <c r="AE84" s="154"/>
    </row>
    <row r="85" spans="2:31" x14ac:dyDescent="0.35">
      <c r="B85" s="157">
        <v>38</v>
      </c>
      <c r="C85" s="157"/>
      <c r="D85" s="157"/>
      <c r="E85" s="157"/>
      <c r="F85" s="157"/>
      <c r="G85" s="154">
        <v>0</v>
      </c>
      <c r="H85" s="154"/>
      <c r="I85" s="154"/>
      <c r="J85" s="154"/>
      <c r="K85" s="154"/>
      <c r="L85" s="154">
        <v>0</v>
      </c>
      <c r="M85" s="154"/>
      <c r="N85" s="154"/>
      <c r="O85" s="154"/>
      <c r="P85" s="154"/>
      <c r="Q85" s="157">
        <v>59</v>
      </c>
      <c r="R85" s="157"/>
      <c r="S85" s="157"/>
      <c r="T85" s="157"/>
      <c r="U85" s="157"/>
      <c r="V85" s="154">
        <v>0</v>
      </c>
      <c r="W85" s="154"/>
      <c r="X85" s="154"/>
      <c r="Y85" s="154"/>
      <c r="Z85" s="154"/>
      <c r="AA85" s="154">
        <v>0</v>
      </c>
      <c r="AB85" s="154"/>
      <c r="AC85" s="154"/>
      <c r="AD85" s="154"/>
      <c r="AE85" s="154"/>
    </row>
    <row r="86" spans="2:31" x14ac:dyDescent="0.35">
      <c r="B86" s="157">
        <v>39</v>
      </c>
      <c r="C86" s="157"/>
      <c r="D86" s="157"/>
      <c r="E86" s="157"/>
      <c r="F86" s="157"/>
      <c r="G86" s="154">
        <v>0</v>
      </c>
      <c r="H86" s="154"/>
      <c r="I86" s="154"/>
      <c r="J86" s="154"/>
      <c r="K86" s="154"/>
      <c r="L86" s="154">
        <v>0</v>
      </c>
      <c r="M86" s="154"/>
      <c r="N86" s="154"/>
      <c r="O86" s="154"/>
      <c r="P86" s="154"/>
      <c r="Q86" s="157">
        <v>60</v>
      </c>
      <c r="R86" s="157"/>
      <c r="S86" s="157"/>
      <c r="T86" s="157"/>
      <c r="U86" s="157"/>
      <c r="V86" s="154">
        <v>0</v>
      </c>
      <c r="W86" s="154"/>
      <c r="X86" s="154"/>
      <c r="Y86" s="154"/>
      <c r="Z86" s="154"/>
      <c r="AA86" s="154">
        <v>0</v>
      </c>
      <c r="AB86" s="154"/>
      <c r="AC86" s="154"/>
      <c r="AD86" s="154"/>
      <c r="AE86" s="154"/>
    </row>
    <row r="87" spans="2:31" x14ac:dyDescent="0.35">
      <c r="B87" s="157">
        <v>40</v>
      </c>
      <c r="C87" s="157"/>
      <c r="D87" s="157"/>
      <c r="E87" s="157"/>
      <c r="F87" s="157"/>
      <c r="G87" s="154">
        <v>0</v>
      </c>
      <c r="H87" s="154"/>
      <c r="I87" s="154"/>
      <c r="J87" s="154"/>
      <c r="K87" s="154"/>
      <c r="L87" s="154">
        <v>0</v>
      </c>
      <c r="M87" s="154"/>
      <c r="N87" s="154"/>
      <c r="O87" s="154"/>
      <c r="P87" s="154"/>
      <c r="Q87" s="157">
        <v>61</v>
      </c>
      <c r="R87" s="157"/>
      <c r="S87" s="157"/>
      <c r="T87" s="157"/>
      <c r="U87" s="157"/>
      <c r="V87" s="154">
        <v>0</v>
      </c>
      <c r="W87" s="154"/>
      <c r="X87" s="154"/>
      <c r="Y87" s="154"/>
      <c r="Z87" s="154"/>
      <c r="AA87" s="154">
        <v>0</v>
      </c>
      <c r="AB87" s="154"/>
      <c r="AC87" s="154"/>
      <c r="AD87" s="154"/>
      <c r="AE87" s="154"/>
    </row>
    <row r="88" spans="2:31" x14ac:dyDescent="0.35">
      <c r="B88" s="157">
        <v>41</v>
      </c>
      <c r="C88" s="157"/>
      <c r="D88" s="157"/>
      <c r="E88" s="157"/>
      <c r="F88" s="157"/>
      <c r="G88" s="154">
        <v>0</v>
      </c>
      <c r="H88" s="154"/>
      <c r="I88" s="154"/>
      <c r="J88" s="154"/>
      <c r="K88" s="154"/>
      <c r="L88" s="154">
        <v>0</v>
      </c>
      <c r="M88" s="154"/>
      <c r="N88" s="154"/>
      <c r="O88" s="154"/>
      <c r="P88" s="154"/>
      <c r="Q88" s="157">
        <v>62</v>
      </c>
      <c r="R88" s="157"/>
      <c r="S88" s="157"/>
      <c r="T88" s="157"/>
      <c r="U88" s="157"/>
      <c r="V88" s="154">
        <v>0</v>
      </c>
      <c r="W88" s="154"/>
      <c r="X88" s="154"/>
      <c r="Y88" s="154"/>
      <c r="Z88" s="154"/>
      <c r="AA88" s="154">
        <v>0</v>
      </c>
      <c r="AB88" s="154"/>
      <c r="AC88" s="154"/>
      <c r="AD88" s="154"/>
      <c r="AE88" s="154"/>
    </row>
    <row r="89" spans="2:31" x14ac:dyDescent="0.35">
      <c r="B89" s="157">
        <v>42</v>
      </c>
      <c r="C89" s="157"/>
      <c r="D89" s="157"/>
      <c r="E89" s="157"/>
      <c r="F89" s="157"/>
      <c r="G89" s="154">
        <v>0</v>
      </c>
      <c r="H89" s="154"/>
      <c r="I89" s="154"/>
      <c r="J89" s="154"/>
      <c r="K89" s="154"/>
      <c r="L89" s="154">
        <v>0</v>
      </c>
      <c r="M89" s="154"/>
      <c r="N89" s="154"/>
      <c r="O89" s="154"/>
      <c r="P89" s="154"/>
      <c r="Q89" s="157">
        <v>63</v>
      </c>
      <c r="R89" s="157"/>
      <c r="S89" s="157"/>
      <c r="T89" s="157"/>
      <c r="U89" s="157"/>
      <c r="V89" s="154">
        <v>0</v>
      </c>
      <c r="W89" s="154"/>
      <c r="X89" s="154"/>
      <c r="Y89" s="154"/>
      <c r="Z89" s="154"/>
      <c r="AA89" s="154">
        <v>0</v>
      </c>
      <c r="AB89" s="154"/>
      <c r="AC89" s="154"/>
      <c r="AD89" s="154"/>
      <c r="AE89" s="154"/>
    </row>
    <row r="90" spans="2:31" x14ac:dyDescent="0.35">
      <c r="B90" s="157">
        <v>43</v>
      </c>
      <c r="C90" s="157"/>
      <c r="D90" s="157"/>
      <c r="E90" s="157"/>
      <c r="F90" s="157"/>
      <c r="G90" s="154">
        <v>0</v>
      </c>
      <c r="H90" s="154"/>
      <c r="I90" s="154"/>
      <c r="J90" s="154"/>
      <c r="K90" s="154"/>
      <c r="L90" s="154">
        <v>0</v>
      </c>
      <c r="M90" s="154"/>
      <c r="N90" s="154"/>
      <c r="O90" s="154"/>
      <c r="P90" s="154"/>
      <c r="Q90" s="157">
        <v>64</v>
      </c>
      <c r="R90" s="157"/>
      <c r="S90" s="157"/>
      <c r="T90" s="157"/>
      <c r="U90" s="157"/>
      <c r="V90" s="154">
        <v>0</v>
      </c>
      <c r="W90" s="154"/>
      <c r="X90" s="154"/>
      <c r="Y90" s="154"/>
      <c r="Z90" s="154"/>
      <c r="AA90" s="154">
        <v>0</v>
      </c>
      <c r="AB90" s="154"/>
      <c r="AC90" s="154"/>
      <c r="AD90" s="154"/>
      <c r="AE90" s="154"/>
    </row>
    <row r="91" spans="2:31" x14ac:dyDescent="0.35">
      <c r="B91" s="157">
        <v>44</v>
      </c>
      <c r="C91" s="157"/>
      <c r="D91" s="157"/>
      <c r="E91" s="157"/>
      <c r="F91" s="157"/>
      <c r="G91" s="154">
        <v>0</v>
      </c>
      <c r="H91" s="154"/>
      <c r="I91" s="154"/>
      <c r="J91" s="154"/>
      <c r="K91" s="154"/>
      <c r="L91" s="154">
        <v>0</v>
      </c>
      <c r="M91" s="154"/>
      <c r="N91" s="154"/>
      <c r="O91" s="154"/>
      <c r="P91" s="154"/>
      <c r="Q91" s="157" t="s">
        <v>175</v>
      </c>
      <c r="R91" s="157"/>
      <c r="S91" s="157"/>
      <c r="T91" s="157"/>
      <c r="U91" s="157"/>
      <c r="V91" s="154">
        <v>0</v>
      </c>
      <c r="W91" s="154"/>
      <c r="X91" s="154"/>
      <c r="Y91" s="154"/>
      <c r="Z91" s="154"/>
      <c r="AA91" s="154">
        <v>0</v>
      </c>
      <c r="AB91" s="154"/>
      <c r="AC91" s="154"/>
      <c r="AD91" s="154"/>
      <c r="AE91" s="154"/>
    </row>
    <row r="92" spans="2:31" x14ac:dyDescent="0.35">
      <c r="B92" s="157">
        <v>45</v>
      </c>
      <c r="C92" s="157"/>
      <c r="D92" s="157"/>
      <c r="E92" s="157"/>
      <c r="F92" s="157"/>
      <c r="G92" s="154">
        <v>0</v>
      </c>
      <c r="H92" s="154"/>
      <c r="I92" s="154"/>
      <c r="J92" s="154"/>
      <c r="K92" s="154"/>
      <c r="L92" s="154">
        <v>0</v>
      </c>
      <c r="M92" s="154"/>
      <c r="N92" s="154"/>
      <c r="O92" s="154"/>
      <c r="P92" s="154"/>
      <c r="Q92" s="156"/>
      <c r="R92" s="156"/>
      <c r="S92" s="156"/>
      <c r="T92" s="156"/>
      <c r="U92" s="156"/>
      <c r="V92" s="155"/>
      <c r="W92" s="155"/>
      <c r="X92" s="155"/>
      <c r="Y92" s="155"/>
      <c r="Z92" s="155"/>
      <c r="AA92" s="155"/>
      <c r="AB92" s="155"/>
      <c r="AC92" s="155"/>
      <c r="AD92" s="155"/>
      <c r="AE92" s="155"/>
    </row>
    <row r="93" spans="2:31" x14ac:dyDescent="0.35">
      <c r="B93" s="5" t="s">
        <v>177</v>
      </c>
      <c r="C93" s="150" t="s">
        <v>179</v>
      </c>
      <c r="D93" s="150"/>
      <c r="E93" s="150"/>
      <c r="F93" s="150"/>
      <c r="G93" s="150"/>
      <c r="H93" s="150"/>
      <c r="I93" s="150"/>
      <c r="J93" s="150"/>
      <c r="K93" s="150"/>
      <c r="L93" s="149"/>
      <c r="M93" s="149"/>
      <c r="N93" s="149"/>
      <c r="O93" s="149"/>
      <c r="P93" s="149"/>
      <c r="Q93" s="149"/>
      <c r="R93" s="149"/>
      <c r="S93" s="149"/>
      <c r="T93" s="149"/>
      <c r="U93" s="149"/>
      <c r="V93" s="149"/>
      <c r="W93" s="149"/>
      <c r="X93" s="149"/>
      <c r="Y93" s="149"/>
      <c r="Z93" s="149"/>
      <c r="AA93" s="149"/>
      <c r="AB93" s="149"/>
      <c r="AC93" s="149"/>
      <c r="AD93" s="149"/>
      <c r="AE93" s="149"/>
    </row>
    <row r="94" spans="2:31" x14ac:dyDescent="0.35">
      <c r="B94" s="5"/>
      <c r="C94" s="149" t="s">
        <v>180</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row>
    <row r="95" spans="2:31" x14ac:dyDescent="0.35">
      <c r="B95" s="5" t="s">
        <v>178</v>
      </c>
      <c r="C95" s="149" t="s">
        <v>181</v>
      </c>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row>
    <row r="96" spans="2:31" x14ac:dyDescent="0.3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row>
    <row r="97" spans="2:31" x14ac:dyDescent="0.35">
      <c r="B97" s="170" t="s">
        <v>141</v>
      </c>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row>
    <row r="98" spans="2:31" x14ac:dyDescent="0.35">
      <c r="B98" s="153" t="s">
        <v>142</v>
      </c>
      <c r="C98" s="153"/>
      <c r="D98" s="153"/>
      <c r="E98" s="153"/>
      <c r="F98" s="153"/>
      <c r="G98" s="153"/>
      <c r="H98" s="153"/>
      <c r="I98" s="153"/>
      <c r="J98" s="153"/>
      <c r="K98" s="153"/>
      <c r="L98" s="153"/>
      <c r="M98" s="153"/>
      <c r="N98" s="153"/>
      <c r="O98" s="153"/>
      <c r="P98" s="153"/>
      <c r="Q98" s="153" t="s">
        <v>143</v>
      </c>
      <c r="R98" s="153"/>
      <c r="S98" s="153"/>
      <c r="T98" s="153"/>
      <c r="U98" s="153"/>
      <c r="V98" s="153"/>
      <c r="W98" s="153"/>
      <c r="X98" s="153"/>
      <c r="Y98" s="153"/>
      <c r="Z98" s="153"/>
      <c r="AA98" s="153"/>
      <c r="AB98" s="153"/>
      <c r="AC98" s="153"/>
      <c r="AD98" s="153"/>
      <c r="AE98" s="153"/>
    </row>
    <row r="99" spans="2:31" x14ac:dyDescent="0.35">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row>
    <row r="100" spans="2:31" x14ac:dyDescent="0.35">
      <c r="B100" s="205">
        <v>-10000000000000</v>
      </c>
      <c r="C100" s="206"/>
      <c r="D100" s="206"/>
      <c r="E100" s="206"/>
      <c r="F100" s="206"/>
      <c r="G100" s="206"/>
      <c r="H100" s="206"/>
      <c r="I100" s="206"/>
      <c r="J100" s="206"/>
      <c r="K100" s="206"/>
      <c r="L100" s="206"/>
      <c r="M100" s="206"/>
      <c r="N100" s="206"/>
      <c r="O100" s="206"/>
      <c r="P100" s="207"/>
      <c r="Q100" s="204">
        <v>-1500</v>
      </c>
      <c r="R100" s="204"/>
      <c r="S100" s="204"/>
      <c r="T100" s="204"/>
      <c r="U100" s="204"/>
      <c r="V100" s="204"/>
      <c r="W100" s="204"/>
      <c r="X100" s="204"/>
      <c r="Y100" s="204"/>
      <c r="Z100" s="204"/>
      <c r="AA100" s="204"/>
      <c r="AB100" s="204"/>
      <c r="AC100" s="204"/>
      <c r="AD100" s="204"/>
      <c r="AE100" s="204"/>
    </row>
    <row r="101" spans="2:31" x14ac:dyDescent="0.35">
      <c r="B101" s="152">
        <v>-6820</v>
      </c>
      <c r="C101" s="152"/>
      <c r="D101" s="152"/>
      <c r="E101" s="152"/>
      <c r="F101" s="152"/>
      <c r="G101" s="152"/>
      <c r="H101" s="152"/>
      <c r="I101" s="152"/>
      <c r="J101" s="152"/>
      <c r="K101" s="152"/>
      <c r="L101" s="152"/>
      <c r="M101" s="152"/>
      <c r="N101" s="152"/>
      <c r="O101" s="152"/>
      <c r="P101" s="152"/>
      <c r="Q101" s="204">
        <f>0.22*'Formula A'!AI64</f>
        <v>4480.3</v>
      </c>
      <c r="R101" s="204"/>
      <c r="S101" s="204"/>
      <c r="T101" s="204"/>
      <c r="U101" s="204"/>
      <c r="V101" s="204"/>
      <c r="W101" s="204"/>
      <c r="X101" s="204"/>
      <c r="Y101" s="204"/>
      <c r="Z101" s="204"/>
      <c r="AA101" s="204"/>
      <c r="AB101" s="204"/>
      <c r="AC101" s="204"/>
      <c r="AD101" s="204"/>
      <c r="AE101" s="204"/>
    </row>
    <row r="102" spans="2:31" x14ac:dyDescent="0.35">
      <c r="B102" s="152">
        <v>20601</v>
      </c>
      <c r="C102" s="152"/>
      <c r="D102" s="152"/>
      <c r="E102" s="152"/>
      <c r="F102" s="152"/>
      <c r="G102" s="152"/>
      <c r="H102" s="152"/>
      <c r="I102" s="152"/>
      <c r="J102" s="152"/>
      <c r="K102" s="152"/>
      <c r="L102" s="152"/>
      <c r="M102" s="152"/>
      <c r="N102" s="152"/>
      <c r="O102" s="152"/>
      <c r="P102" s="152"/>
      <c r="Q102" s="204">
        <f>4532+(('Formula A'!AI64-20600)*0.25)</f>
        <v>4473.25</v>
      </c>
      <c r="R102" s="204"/>
      <c r="S102" s="204"/>
      <c r="T102" s="204"/>
      <c r="U102" s="204"/>
      <c r="V102" s="204"/>
      <c r="W102" s="204"/>
      <c r="X102" s="204"/>
      <c r="Y102" s="204"/>
      <c r="Z102" s="204"/>
      <c r="AA102" s="204"/>
      <c r="AB102" s="204"/>
      <c r="AC102" s="204"/>
      <c r="AD102" s="204"/>
      <c r="AE102" s="204"/>
    </row>
    <row r="103" spans="2:31" x14ac:dyDescent="0.35">
      <c r="B103" s="152">
        <v>25801</v>
      </c>
      <c r="C103" s="152"/>
      <c r="D103" s="152"/>
      <c r="E103" s="152"/>
      <c r="F103" s="152"/>
      <c r="G103" s="152"/>
      <c r="H103" s="152"/>
      <c r="I103" s="152"/>
      <c r="J103" s="152"/>
      <c r="K103" s="152"/>
      <c r="L103" s="152"/>
      <c r="M103" s="152"/>
      <c r="N103" s="152"/>
      <c r="O103" s="152"/>
      <c r="P103" s="152"/>
      <c r="Q103" s="204">
        <f>5832+(('Formula A'!AI64-25800)*0.29)</f>
        <v>4255.8500000000004</v>
      </c>
      <c r="R103" s="204"/>
      <c r="S103" s="204"/>
      <c r="T103" s="204"/>
      <c r="U103" s="204"/>
      <c r="V103" s="204"/>
      <c r="W103" s="204"/>
      <c r="X103" s="204"/>
      <c r="Y103" s="204"/>
      <c r="Z103" s="204"/>
      <c r="AA103" s="204"/>
      <c r="AB103" s="204"/>
      <c r="AC103" s="204"/>
      <c r="AD103" s="204"/>
      <c r="AE103" s="204"/>
    </row>
    <row r="104" spans="2:31" x14ac:dyDescent="0.35">
      <c r="B104" s="152">
        <v>31001</v>
      </c>
      <c r="C104" s="152"/>
      <c r="D104" s="152"/>
      <c r="E104" s="152"/>
      <c r="F104" s="152"/>
      <c r="G104" s="152"/>
      <c r="H104" s="152"/>
      <c r="I104" s="152"/>
      <c r="J104" s="152"/>
      <c r="K104" s="152"/>
      <c r="L104" s="152"/>
      <c r="M104" s="152"/>
      <c r="N104" s="152"/>
      <c r="O104" s="152"/>
      <c r="P104" s="152"/>
      <c r="Q104" s="204">
        <f>7340+(('Formula A'!AI64-31000)*0.34)</f>
        <v>3724.1</v>
      </c>
      <c r="R104" s="204"/>
      <c r="S104" s="204"/>
      <c r="T104" s="204"/>
      <c r="U104" s="204"/>
      <c r="V104" s="204"/>
      <c r="W104" s="204"/>
      <c r="X104" s="204"/>
      <c r="Y104" s="204"/>
      <c r="Z104" s="204"/>
      <c r="AA104" s="204"/>
      <c r="AB104" s="204"/>
      <c r="AC104" s="204"/>
      <c r="AD104" s="204"/>
      <c r="AE104" s="204"/>
    </row>
    <row r="105" spans="2:31" x14ac:dyDescent="0.35">
      <c r="B105" s="152">
        <v>36301</v>
      </c>
      <c r="C105" s="152"/>
      <c r="D105" s="152"/>
      <c r="E105" s="152"/>
      <c r="F105" s="152"/>
      <c r="G105" s="152"/>
      <c r="H105" s="152"/>
      <c r="I105" s="152"/>
      <c r="J105" s="152"/>
      <c r="K105" s="152"/>
      <c r="L105" s="152"/>
      <c r="M105" s="152"/>
      <c r="N105" s="152"/>
      <c r="O105" s="152"/>
      <c r="P105" s="152"/>
      <c r="Q105" s="204">
        <f>9142+(('Formula A'!AI64-36300)*0.4)</f>
        <v>2768</v>
      </c>
      <c r="R105" s="204"/>
      <c r="S105" s="204"/>
      <c r="T105" s="204"/>
      <c r="U105" s="204"/>
      <c r="V105" s="204"/>
      <c r="W105" s="204"/>
      <c r="X105" s="204"/>
      <c r="Y105" s="204"/>
      <c r="Z105" s="204"/>
      <c r="AA105" s="204"/>
      <c r="AB105" s="204"/>
      <c r="AC105" s="204"/>
      <c r="AD105" s="204"/>
      <c r="AE105" s="204"/>
    </row>
    <row r="106" spans="2:31" x14ac:dyDescent="0.35">
      <c r="B106" s="152">
        <v>41501</v>
      </c>
      <c r="C106" s="152"/>
      <c r="D106" s="152"/>
      <c r="E106" s="152"/>
      <c r="F106" s="152"/>
      <c r="G106" s="152"/>
      <c r="H106" s="152"/>
      <c r="I106" s="152"/>
      <c r="J106" s="152"/>
      <c r="K106" s="152"/>
      <c r="L106" s="152"/>
      <c r="M106" s="152"/>
      <c r="N106" s="152"/>
      <c r="O106" s="152"/>
      <c r="P106" s="152"/>
      <c r="Q106" s="204">
        <f>11222+(('Formula A'!AI64-41500)*0.47)</f>
        <v>1288.5500000000011</v>
      </c>
      <c r="R106" s="204"/>
      <c r="S106" s="204"/>
      <c r="T106" s="204"/>
      <c r="U106" s="204"/>
      <c r="V106" s="204"/>
      <c r="W106" s="204"/>
      <c r="X106" s="204"/>
      <c r="Y106" s="204"/>
      <c r="Z106" s="204"/>
      <c r="AA106" s="204"/>
      <c r="AB106" s="204"/>
      <c r="AC106" s="204"/>
      <c r="AD106" s="204"/>
      <c r="AE106" s="204"/>
    </row>
  </sheetData>
  <sheetProtection algorithmName="SHA-512" hashValue="APljjJsEUGkTHESnNXE2ZMdS4On2hwu2Cwr8JSQMoWfyI/d9eZsC3MwDeBU895Wou0VGqHtmQGL0UGxsxL61SQ==" saltValue="jyBtn4prHWeEkgfJyO4y9w==" spinCount="100000" sheet="1" objects="1" scenarios="1"/>
  <mergeCells count="221">
    <mergeCell ref="B97:AE97"/>
    <mergeCell ref="Q98:AE99"/>
    <mergeCell ref="B98:P99"/>
    <mergeCell ref="B49:AE49"/>
    <mergeCell ref="Q56:AE56"/>
    <mergeCell ref="Q55:AE55"/>
    <mergeCell ref="Q54:AE54"/>
    <mergeCell ref="B44:P44"/>
    <mergeCell ref="Q44:AE44"/>
    <mergeCell ref="B45:P45"/>
    <mergeCell ref="Q45:AE45"/>
    <mergeCell ref="B46:P46"/>
    <mergeCell ref="Q46:AE46"/>
    <mergeCell ref="AA76:AE76"/>
    <mergeCell ref="V76:Z76"/>
    <mergeCell ref="Q76:U76"/>
    <mergeCell ref="L76:P76"/>
    <mergeCell ref="G76:K76"/>
    <mergeCell ref="B76:F76"/>
    <mergeCell ref="AA74:AE74"/>
    <mergeCell ref="V74:Z74"/>
    <mergeCell ref="Q74:U74"/>
    <mergeCell ref="L74:P74"/>
    <mergeCell ref="G74:K74"/>
    <mergeCell ref="Q100:AE100"/>
    <mergeCell ref="B106:P106"/>
    <mergeCell ref="B105:P105"/>
    <mergeCell ref="B104:P104"/>
    <mergeCell ref="B103:P103"/>
    <mergeCell ref="B102:P102"/>
    <mergeCell ref="B101:P101"/>
    <mergeCell ref="B100:P100"/>
    <mergeCell ref="Q106:AE106"/>
    <mergeCell ref="Q105:AE105"/>
    <mergeCell ref="Q104:AE104"/>
    <mergeCell ref="Q103:AE103"/>
    <mergeCell ref="Q102:AE102"/>
    <mergeCell ref="Q101:AE101"/>
    <mergeCell ref="B2:AE2"/>
    <mergeCell ref="J3:AE4"/>
    <mergeCell ref="B3:I4"/>
    <mergeCell ref="Q53:AE53"/>
    <mergeCell ref="Q52:AE52"/>
    <mergeCell ref="B56:P56"/>
    <mergeCell ref="B55:P55"/>
    <mergeCell ref="B54:P54"/>
    <mergeCell ref="B53:P53"/>
    <mergeCell ref="B52:P52"/>
    <mergeCell ref="B47:P47"/>
    <mergeCell ref="Q47:AE47"/>
    <mergeCell ref="B39:AE39"/>
    <mergeCell ref="B40:P41"/>
    <mergeCell ref="Q40:AE41"/>
    <mergeCell ref="B42:P42"/>
    <mergeCell ref="Q42:AE42"/>
    <mergeCell ref="B43:P43"/>
    <mergeCell ref="Q43:AE43"/>
    <mergeCell ref="B5:I18"/>
    <mergeCell ref="K18:AE18"/>
    <mergeCell ref="K17:AE17"/>
    <mergeCell ref="C31:AE34"/>
    <mergeCell ref="C35:AE36"/>
    <mergeCell ref="K10:AE10"/>
    <mergeCell ref="K9:AE9"/>
    <mergeCell ref="J8:AE8"/>
    <mergeCell ref="K7:AE7"/>
    <mergeCell ref="K6:AE6"/>
    <mergeCell ref="J5:AE5"/>
    <mergeCell ref="J16:AE16"/>
    <mergeCell ref="K15:AE15"/>
    <mergeCell ref="K14:AE14"/>
    <mergeCell ref="K13:AE13"/>
    <mergeCell ref="K12:AE12"/>
    <mergeCell ref="J11:AE11"/>
    <mergeCell ref="J19:AE19"/>
    <mergeCell ref="B19:I30"/>
    <mergeCell ref="B67:AE67"/>
    <mergeCell ref="AA68:AE71"/>
    <mergeCell ref="V68:Z71"/>
    <mergeCell ref="Q68:U71"/>
    <mergeCell ref="L68:P71"/>
    <mergeCell ref="G68:K71"/>
    <mergeCell ref="B68:F71"/>
    <mergeCell ref="B59:P60"/>
    <mergeCell ref="K20:AE22"/>
    <mergeCell ref="K23:AE26"/>
    <mergeCell ref="K28:AE30"/>
    <mergeCell ref="J27:AE27"/>
    <mergeCell ref="Q50:AE51"/>
    <mergeCell ref="B50:P51"/>
    <mergeCell ref="C37:AE37"/>
    <mergeCell ref="B58:AE58"/>
    <mergeCell ref="B62:P62"/>
    <mergeCell ref="Q62:AE62"/>
    <mergeCell ref="B63:P63"/>
    <mergeCell ref="Q63:AE63"/>
    <mergeCell ref="B64:P64"/>
    <mergeCell ref="Q64:AE64"/>
    <mergeCell ref="B74:F74"/>
    <mergeCell ref="B75:F75"/>
    <mergeCell ref="G75:K75"/>
    <mergeCell ref="L75:P75"/>
    <mergeCell ref="Q75:U75"/>
    <mergeCell ref="V75:Z75"/>
    <mergeCell ref="AA75:AE75"/>
    <mergeCell ref="AA72:AE72"/>
    <mergeCell ref="V72:Z72"/>
    <mergeCell ref="Q72:U72"/>
    <mergeCell ref="L72:P72"/>
    <mergeCell ref="G72:K72"/>
    <mergeCell ref="B72:F72"/>
    <mergeCell ref="B73:F73"/>
    <mergeCell ref="G73:K73"/>
    <mergeCell ref="L73:P73"/>
    <mergeCell ref="Q73:U73"/>
    <mergeCell ref="V73:Z73"/>
    <mergeCell ref="AA73:AE73"/>
    <mergeCell ref="L77:P77"/>
    <mergeCell ref="Q77:U77"/>
    <mergeCell ref="V77:Z77"/>
    <mergeCell ref="AA77:AE77"/>
    <mergeCell ref="G92:K92"/>
    <mergeCell ref="G91:K91"/>
    <mergeCell ref="G90:K90"/>
    <mergeCell ref="B82:F82"/>
    <mergeCell ref="B81:F81"/>
    <mergeCell ref="B80:F80"/>
    <mergeCell ref="B79:F79"/>
    <mergeCell ref="B78:F78"/>
    <mergeCell ref="B77:F77"/>
    <mergeCell ref="B88:F88"/>
    <mergeCell ref="B87:F87"/>
    <mergeCell ref="B86:F86"/>
    <mergeCell ref="B85:F85"/>
    <mergeCell ref="B84:F84"/>
    <mergeCell ref="B83:F83"/>
    <mergeCell ref="B92:F92"/>
    <mergeCell ref="B91:F91"/>
    <mergeCell ref="B90:F90"/>
    <mergeCell ref="B89:F89"/>
    <mergeCell ref="G79:K79"/>
    <mergeCell ref="G78:K78"/>
    <mergeCell ref="G89:K89"/>
    <mergeCell ref="G87:K87"/>
    <mergeCell ref="G88:K88"/>
    <mergeCell ref="G86:K86"/>
    <mergeCell ref="G85:K85"/>
    <mergeCell ref="G84:K84"/>
    <mergeCell ref="G77:K77"/>
    <mergeCell ref="Q86:U86"/>
    <mergeCell ref="Q85:U85"/>
    <mergeCell ref="Q84:U84"/>
    <mergeCell ref="L82:P82"/>
    <mergeCell ref="L81:P81"/>
    <mergeCell ref="L80:P80"/>
    <mergeCell ref="G83:K83"/>
    <mergeCell ref="G82:K82"/>
    <mergeCell ref="G81:K81"/>
    <mergeCell ref="G80:K80"/>
    <mergeCell ref="Q83:U83"/>
    <mergeCell ref="Q82:U82"/>
    <mergeCell ref="Q81:U81"/>
    <mergeCell ref="Q80:U80"/>
    <mergeCell ref="Q79:U79"/>
    <mergeCell ref="Q78:U78"/>
    <mergeCell ref="L79:P79"/>
    <mergeCell ref="L78:P78"/>
    <mergeCell ref="Q92:U92"/>
    <mergeCell ref="Q91:U91"/>
    <mergeCell ref="Q90:U90"/>
    <mergeCell ref="L88:P88"/>
    <mergeCell ref="L87:P87"/>
    <mergeCell ref="L86:P86"/>
    <mergeCell ref="L85:P85"/>
    <mergeCell ref="L84:P84"/>
    <mergeCell ref="L83:P83"/>
    <mergeCell ref="L92:P92"/>
    <mergeCell ref="L91:P91"/>
    <mergeCell ref="L90:P90"/>
    <mergeCell ref="L89:P89"/>
    <mergeCell ref="Q89:U89"/>
    <mergeCell ref="Q88:U88"/>
    <mergeCell ref="Q87:U87"/>
    <mergeCell ref="V91:Z91"/>
    <mergeCell ref="V90:Z90"/>
    <mergeCell ref="AA84:AE84"/>
    <mergeCell ref="AA85:AE85"/>
    <mergeCell ref="AA86:AE86"/>
    <mergeCell ref="AA87:AE87"/>
    <mergeCell ref="AA88:AE88"/>
    <mergeCell ref="AA89:AE89"/>
    <mergeCell ref="AA78:AE78"/>
    <mergeCell ref="AA79:AE79"/>
    <mergeCell ref="AA80:AE80"/>
    <mergeCell ref="AA81:AE81"/>
    <mergeCell ref="AA82:AE82"/>
    <mergeCell ref="AA83:AE83"/>
    <mergeCell ref="C95:AE95"/>
    <mergeCell ref="C94:AE94"/>
    <mergeCell ref="C93:AE93"/>
    <mergeCell ref="Q65:AE65"/>
    <mergeCell ref="B65:P65"/>
    <mergeCell ref="Q59:AE60"/>
    <mergeCell ref="B61:P61"/>
    <mergeCell ref="Q61:AE61"/>
    <mergeCell ref="V83:Z83"/>
    <mergeCell ref="V82:Z82"/>
    <mergeCell ref="V81:Z81"/>
    <mergeCell ref="V80:Z80"/>
    <mergeCell ref="V79:Z79"/>
    <mergeCell ref="V78:Z78"/>
    <mergeCell ref="V89:Z89"/>
    <mergeCell ref="V88:Z88"/>
    <mergeCell ref="V87:Z87"/>
    <mergeCell ref="V86:Z86"/>
    <mergeCell ref="V85:Z85"/>
    <mergeCell ref="V84:Z84"/>
    <mergeCell ref="AA90:AE90"/>
    <mergeCell ref="AA91:AE91"/>
    <mergeCell ref="AA92:AE92"/>
    <mergeCell ref="V92:Z9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314B-8E2D-4022-95A6-912E1465A2DC}">
  <sheetPr>
    <tabColor theme="5" tint="0.79998168889431442"/>
    <pageSetUpPr fitToPage="1"/>
  </sheetPr>
  <dimension ref="B2:BJ76"/>
  <sheetViews>
    <sheetView showGridLines="0" showRowColHeaders="0" zoomScaleNormal="100" workbookViewId="0">
      <selection activeCell="AJ7" sqref="AJ7:AJ10"/>
    </sheetView>
  </sheetViews>
  <sheetFormatPr defaultColWidth="3.453125" defaultRowHeight="14.5" x14ac:dyDescent="0.35"/>
  <cols>
    <col min="1" max="34" width="3.453125" style="2"/>
    <col min="35" max="35" width="7.08984375" style="1" customWidth="1"/>
    <col min="36" max="36" width="19" style="3" customWidth="1"/>
    <col min="37" max="16384" width="3.453125" style="2"/>
  </cols>
  <sheetData>
    <row r="2" spans="2:62" ht="14.4" customHeight="1" x14ac:dyDescent="0.35">
      <c r="B2" s="103" t="s">
        <v>241</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2:62" ht="14.4" customHeight="1" x14ac:dyDescent="0.35">
      <c r="B3" s="104" t="s">
        <v>239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spans="2:62" x14ac:dyDescent="0.35">
      <c r="B4" s="92" t="s">
        <v>240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row>
    <row r="5" spans="2:62" ht="18.5" x14ac:dyDescent="0.35">
      <c r="B5" s="99" t="s">
        <v>43</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1"/>
    </row>
    <row r="6" spans="2:62" x14ac:dyDescent="0.35">
      <c r="B6" s="122" t="s">
        <v>186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0"/>
      <c r="AJ6" s="121"/>
      <c r="AK6" s="82" t="s">
        <v>349</v>
      </c>
      <c r="AL6" s="83"/>
      <c r="AM6" s="83"/>
      <c r="AN6" s="83"/>
      <c r="AO6" s="83"/>
      <c r="AP6" s="83"/>
      <c r="AQ6" s="83"/>
      <c r="AR6" s="83"/>
      <c r="AS6" s="83"/>
      <c r="AT6" s="83"/>
      <c r="AU6" s="83"/>
      <c r="AV6" s="83"/>
      <c r="AW6" s="83"/>
      <c r="AX6" s="83"/>
      <c r="AY6" s="83"/>
      <c r="AZ6" s="83"/>
      <c r="BA6" s="83"/>
      <c r="BB6" s="83"/>
      <c r="BC6" s="83"/>
      <c r="BD6" s="83"/>
      <c r="BE6" s="83"/>
      <c r="BF6" s="83"/>
      <c r="BG6" s="83"/>
      <c r="BH6" s="83"/>
      <c r="BI6" s="83"/>
      <c r="BJ6" s="84"/>
    </row>
    <row r="7" spans="2:62" x14ac:dyDescent="0.35">
      <c r="B7" s="33"/>
      <c r="C7" s="22"/>
      <c r="D7" s="22" t="s">
        <v>3</v>
      </c>
      <c r="E7" s="96" t="s">
        <v>187</v>
      </c>
      <c r="F7" s="96"/>
      <c r="G7" s="96"/>
      <c r="H7" s="96"/>
      <c r="I7" s="96"/>
      <c r="J7" s="96"/>
      <c r="K7" s="96"/>
      <c r="L7" s="96"/>
      <c r="M7" s="96"/>
      <c r="N7" s="96"/>
      <c r="O7" s="96"/>
      <c r="P7" s="96"/>
      <c r="Q7" s="96"/>
      <c r="R7" s="96"/>
      <c r="S7" s="96"/>
      <c r="T7" s="96"/>
      <c r="U7" s="96"/>
      <c r="V7" s="96"/>
      <c r="W7" s="96"/>
      <c r="X7" s="96"/>
      <c r="Y7" s="96"/>
      <c r="Z7" s="97"/>
      <c r="AA7" s="98" t="s">
        <v>303</v>
      </c>
      <c r="AB7" s="98"/>
      <c r="AC7" s="98"/>
      <c r="AD7" s="98"/>
      <c r="AE7" s="98"/>
      <c r="AF7" s="98"/>
      <c r="AG7" s="98"/>
      <c r="AH7" s="98"/>
      <c r="AI7" s="39"/>
      <c r="AJ7" s="231"/>
      <c r="AK7" s="73" t="s">
        <v>343</v>
      </c>
      <c r="AL7" s="74"/>
      <c r="AM7" s="74"/>
      <c r="AN7" s="74"/>
      <c r="AO7" s="74"/>
      <c r="AP7" s="74"/>
      <c r="AQ7" s="74"/>
      <c r="AR7" s="74"/>
      <c r="AS7" s="74"/>
      <c r="AT7" s="74"/>
      <c r="AU7" s="74"/>
      <c r="AV7" s="74"/>
      <c r="AW7" s="74"/>
      <c r="AX7" s="74"/>
      <c r="AY7" s="74"/>
      <c r="AZ7" s="74"/>
      <c r="BA7" s="74"/>
      <c r="BB7" s="74"/>
      <c r="BC7" s="74"/>
      <c r="BD7" s="74"/>
      <c r="BE7" s="74"/>
      <c r="BF7" s="74"/>
      <c r="BG7" s="74"/>
      <c r="BH7" s="74"/>
      <c r="BI7" s="74"/>
      <c r="BJ7" s="75"/>
    </row>
    <row r="8" spans="2:62" x14ac:dyDescent="0.35">
      <c r="B8" s="23"/>
      <c r="C8" s="24"/>
      <c r="D8" s="24"/>
      <c r="E8" s="24"/>
      <c r="F8" s="94"/>
      <c r="G8" s="94"/>
      <c r="H8" s="94"/>
      <c r="I8" s="94"/>
      <c r="J8" s="94"/>
      <c r="K8" s="94"/>
      <c r="L8" s="94"/>
      <c r="M8" s="94"/>
      <c r="N8" s="94"/>
      <c r="O8" s="94"/>
      <c r="P8" s="94"/>
      <c r="Q8" s="94"/>
      <c r="R8" s="94"/>
      <c r="S8" s="94"/>
      <c r="T8" s="94"/>
      <c r="U8" s="94"/>
      <c r="V8" s="94"/>
      <c r="W8" s="94"/>
      <c r="X8" s="94"/>
      <c r="Y8" s="94"/>
      <c r="Z8" s="95"/>
      <c r="AA8" s="230"/>
      <c r="AB8" s="230"/>
      <c r="AC8" s="230"/>
      <c r="AD8" s="230"/>
      <c r="AE8" s="230"/>
      <c r="AF8" s="230"/>
      <c r="AG8" s="230"/>
      <c r="AH8" s="230"/>
      <c r="AI8" s="39"/>
      <c r="AJ8" s="232"/>
      <c r="AK8" s="76"/>
      <c r="AL8" s="77"/>
      <c r="AM8" s="77"/>
      <c r="AN8" s="77"/>
      <c r="AO8" s="77"/>
      <c r="AP8" s="77"/>
      <c r="AQ8" s="77"/>
      <c r="AR8" s="77"/>
      <c r="AS8" s="77"/>
      <c r="AT8" s="77"/>
      <c r="AU8" s="77"/>
      <c r="AV8" s="77"/>
      <c r="AW8" s="77"/>
      <c r="AX8" s="77"/>
      <c r="AY8" s="77"/>
      <c r="AZ8" s="77"/>
      <c r="BA8" s="77"/>
      <c r="BB8" s="77"/>
      <c r="BC8" s="77"/>
      <c r="BD8" s="77"/>
      <c r="BE8" s="77"/>
      <c r="BF8" s="77"/>
      <c r="BG8" s="77"/>
      <c r="BH8" s="77"/>
      <c r="BI8" s="77"/>
      <c r="BJ8" s="78"/>
    </row>
    <row r="9" spans="2:62" x14ac:dyDescent="0.35">
      <c r="B9" s="23"/>
      <c r="C9" s="24"/>
      <c r="D9" s="24"/>
      <c r="E9" s="24"/>
      <c r="F9" s="102"/>
      <c r="G9" s="102"/>
      <c r="H9" s="102"/>
      <c r="I9" s="102"/>
      <c r="J9" s="102"/>
      <c r="K9" s="102"/>
      <c r="L9" s="102"/>
      <c r="M9" s="102"/>
      <c r="N9" s="102"/>
      <c r="O9" s="102"/>
      <c r="P9" s="102"/>
      <c r="Q9" s="102"/>
      <c r="R9" s="135"/>
      <c r="S9" s="111" t="s">
        <v>309</v>
      </c>
      <c r="T9" s="98"/>
      <c r="U9" s="98"/>
      <c r="V9" s="98"/>
      <c r="W9" s="98"/>
      <c r="X9" s="98"/>
      <c r="Y9" s="98"/>
      <c r="Z9" s="98"/>
      <c r="AA9" s="98" t="s">
        <v>310</v>
      </c>
      <c r="AB9" s="98"/>
      <c r="AC9" s="98"/>
      <c r="AD9" s="98"/>
      <c r="AE9" s="98"/>
      <c r="AF9" s="98"/>
      <c r="AG9" s="98"/>
      <c r="AH9" s="98"/>
      <c r="AI9" s="39"/>
      <c r="AJ9" s="232"/>
      <c r="AK9" s="76"/>
      <c r="AL9" s="77"/>
      <c r="AM9" s="77"/>
      <c r="AN9" s="77"/>
      <c r="AO9" s="77"/>
      <c r="AP9" s="77"/>
      <c r="AQ9" s="77"/>
      <c r="AR9" s="77"/>
      <c r="AS9" s="77"/>
      <c r="AT9" s="77"/>
      <c r="AU9" s="77"/>
      <c r="AV9" s="77"/>
      <c r="AW9" s="77"/>
      <c r="AX9" s="77"/>
      <c r="AY9" s="77"/>
      <c r="AZ9" s="77"/>
      <c r="BA9" s="77"/>
      <c r="BB9" s="77"/>
      <c r="BC9" s="77"/>
      <c r="BD9" s="77"/>
      <c r="BE9" s="77"/>
      <c r="BF9" s="77"/>
      <c r="BG9" s="77"/>
      <c r="BH9" s="77"/>
      <c r="BI9" s="77"/>
      <c r="BJ9" s="78"/>
    </row>
    <row r="10" spans="2:62" x14ac:dyDescent="0.35">
      <c r="B10" s="29"/>
      <c r="C10" s="19"/>
      <c r="D10" s="19"/>
      <c r="E10" s="19"/>
      <c r="F10" s="136"/>
      <c r="G10" s="136"/>
      <c r="H10" s="136"/>
      <c r="I10" s="136"/>
      <c r="J10" s="136"/>
      <c r="K10" s="136"/>
      <c r="L10" s="136"/>
      <c r="M10" s="136"/>
      <c r="N10" s="136"/>
      <c r="O10" s="136"/>
      <c r="P10" s="136"/>
      <c r="Q10" s="136"/>
      <c r="R10" s="137"/>
      <c r="S10" s="229"/>
      <c r="T10" s="208"/>
      <c r="U10" s="208"/>
      <c r="V10" s="208"/>
      <c r="W10" s="208"/>
      <c r="X10" s="208"/>
      <c r="Y10" s="208"/>
      <c r="Z10" s="208"/>
      <c r="AA10" s="208"/>
      <c r="AB10" s="208"/>
      <c r="AC10" s="208"/>
      <c r="AD10" s="208"/>
      <c r="AE10" s="208"/>
      <c r="AF10" s="208"/>
      <c r="AG10" s="208"/>
      <c r="AH10" s="208"/>
      <c r="AI10" s="39"/>
      <c r="AJ10" s="233"/>
      <c r="AK10" s="79"/>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1"/>
    </row>
    <row r="11" spans="2:62" x14ac:dyDescent="0.35">
      <c r="B11" s="29"/>
      <c r="C11" s="19"/>
      <c r="D11" s="19" t="s">
        <v>4</v>
      </c>
      <c r="E11" s="92" t="s">
        <v>188</v>
      </c>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3"/>
      <c r="AI11" s="28" t="s">
        <v>135</v>
      </c>
      <c r="AJ11" s="43"/>
      <c r="AK11" s="70" t="s">
        <v>346</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2"/>
    </row>
    <row r="12" spans="2:62" x14ac:dyDescent="0.35">
      <c r="B12" s="31"/>
      <c r="C12" s="32"/>
      <c r="D12" s="32" t="s">
        <v>5</v>
      </c>
      <c r="E12" s="86" t="s">
        <v>189</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7"/>
      <c r="AI12" s="28" t="s">
        <v>135</v>
      </c>
      <c r="AJ12" s="43"/>
      <c r="AK12" s="70" t="s">
        <v>347</v>
      </c>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2"/>
    </row>
    <row r="13" spans="2:62" x14ac:dyDescent="0.35">
      <c r="B13" s="31"/>
      <c r="C13" s="32"/>
      <c r="D13" s="32" t="s">
        <v>6</v>
      </c>
      <c r="E13" s="86" t="s">
        <v>190</v>
      </c>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7"/>
      <c r="AI13" s="28" t="s">
        <v>135</v>
      </c>
      <c r="AJ13" s="43"/>
      <c r="AK13" s="70" t="s">
        <v>344</v>
      </c>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2"/>
    </row>
    <row r="14" spans="2:62" x14ac:dyDescent="0.35">
      <c r="B14" s="31"/>
      <c r="C14" s="32"/>
      <c r="D14" s="32" t="s">
        <v>7</v>
      </c>
      <c r="E14" s="86" t="s">
        <v>284</v>
      </c>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7"/>
      <c r="AI14" s="28" t="s">
        <v>135</v>
      </c>
      <c r="AJ14" s="43"/>
      <c r="AK14" s="70" t="s">
        <v>345</v>
      </c>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row>
    <row r="15" spans="2:62" x14ac:dyDescent="0.35">
      <c r="B15" s="31"/>
      <c r="C15" s="32"/>
      <c r="D15" s="32" t="s">
        <v>8</v>
      </c>
      <c r="E15" s="86" t="s">
        <v>191</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7"/>
      <c r="AI15" s="28" t="s">
        <v>135</v>
      </c>
      <c r="AJ15" s="43"/>
      <c r="AK15" s="70" t="s">
        <v>348</v>
      </c>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row>
    <row r="16" spans="2:62" x14ac:dyDescent="0.35">
      <c r="B16" s="31"/>
      <c r="C16" s="32" t="s">
        <v>9</v>
      </c>
      <c r="D16" s="86" t="s">
        <v>192</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7"/>
      <c r="AI16" s="28" t="s">
        <v>136</v>
      </c>
      <c r="AJ16" s="44">
        <f>ROUND(SUM(AJ7:AJ15),0)</f>
        <v>0</v>
      </c>
    </row>
    <row r="17" spans="2:62" x14ac:dyDescent="0.35">
      <c r="B17" s="119" t="s">
        <v>193</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90"/>
      <c r="AJ17" s="91"/>
    </row>
    <row r="18" spans="2:62" x14ac:dyDescent="0.35">
      <c r="B18" s="31"/>
      <c r="C18" s="32"/>
      <c r="D18" s="32" t="s">
        <v>11</v>
      </c>
      <c r="E18" s="86" t="s">
        <v>285</v>
      </c>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7"/>
      <c r="AI18" s="34"/>
      <c r="AJ18" s="43"/>
    </row>
    <row r="19" spans="2:62" x14ac:dyDescent="0.35">
      <c r="B19" s="31"/>
      <c r="C19" s="32"/>
      <c r="D19" s="32" t="s">
        <v>12</v>
      </c>
      <c r="E19" s="86" t="s">
        <v>194</v>
      </c>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7"/>
      <c r="AI19" s="28" t="s">
        <v>135</v>
      </c>
      <c r="AJ19" s="43"/>
      <c r="AK19" s="70" t="s">
        <v>447</v>
      </c>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2"/>
    </row>
    <row r="20" spans="2:62" x14ac:dyDescent="0.35">
      <c r="B20" s="31"/>
      <c r="C20" s="32"/>
      <c r="D20" s="32" t="s">
        <v>13</v>
      </c>
      <c r="E20" s="86" t="s">
        <v>195</v>
      </c>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7"/>
      <c r="AI20" s="28" t="s">
        <v>135</v>
      </c>
      <c r="AJ20" s="43"/>
    </row>
    <row r="21" spans="2:62" x14ac:dyDescent="0.35">
      <c r="B21" s="31"/>
      <c r="C21" s="32" t="s">
        <v>14</v>
      </c>
      <c r="D21" s="86" t="s">
        <v>196</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28" t="s">
        <v>136</v>
      </c>
      <c r="AJ21" s="44">
        <f>ROUND(SUM(AJ18:AJ20),0)</f>
        <v>0</v>
      </c>
    </row>
    <row r="22" spans="2:62" x14ac:dyDescent="0.35">
      <c r="B22" s="33"/>
      <c r="C22" s="22" t="s">
        <v>15</v>
      </c>
      <c r="D22" s="96" t="s">
        <v>286</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7"/>
      <c r="AI22" s="98" t="s">
        <v>136</v>
      </c>
      <c r="AJ22" s="209">
        <f>ROUND(AJ16-AJ21,0)</f>
        <v>0</v>
      </c>
    </row>
    <row r="23" spans="2:62" x14ac:dyDescent="0.35">
      <c r="B23" s="23"/>
      <c r="C23" s="24"/>
      <c r="D23" s="35" t="s">
        <v>16</v>
      </c>
      <c r="E23" s="94" t="s">
        <v>197</v>
      </c>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5"/>
      <c r="AI23" s="98"/>
      <c r="AJ23" s="209"/>
    </row>
    <row r="24" spans="2:62" x14ac:dyDescent="0.35">
      <c r="B24" s="29"/>
      <c r="C24" s="19"/>
      <c r="D24" s="37" t="s">
        <v>16</v>
      </c>
      <c r="E24" s="92" t="s">
        <v>82</v>
      </c>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3"/>
      <c r="AI24" s="98"/>
      <c r="AJ24" s="209"/>
    </row>
    <row r="25" spans="2:62" x14ac:dyDescent="0.35">
      <c r="B25" s="119" t="s">
        <v>198</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90"/>
      <c r="AJ25" s="91"/>
    </row>
    <row r="26" spans="2:62" x14ac:dyDescent="0.35">
      <c r="B26" s="31"/>
      <c r="C26" s="32" t="s">
        <v>18</v>
      </c>
      <c r="D26" s="86" t="s">
        <v>199</v>
      </c>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34"/>
      <c r="AJ26" s="43"/>
      <c r="AK26" s="70" t="s">
        <v>448</v>
      </c>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2"/>
    </row>
    <row r="27" spans="2:62" x14ac:dyDescent="0.35">
      <c r="B27" s="31"/>
      <c r="C27" s="32" t="s">
        <v>19</v>
      </c>
      <c r="D27" s="86" t="s">
        <v>203</v>
      </c>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I27" s="34"/>
      <c r="AJ27" s="36"/>
    </row>
    <row r="28" spans="2:62" x14ac:dyDescent="0.35">
      <c r="B28" s="31"/>
      <c r="C28" s="32"/>
      <c r="D28" s="32" t="s">
        <v>3</v>
      </c>
      <c r="E28" s="86" t="s">
        <v>204</v>
      </c>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7"/>
      <c r="AI28" s="28" t="s">
        <v>135</v>
      </c>
      <c r="AJ28" s="44">
        <f>ROUND(IF(AND(OR(AA8="Married - Filed Separate Return",AA8="Married - Filed Joint Return"),S10+AA10&gt;250000),(250000*0.0145)+((S10+AA10-250000)*0.0235),IF(AND(OR(AA8="Married - Filed Separate Return",AA8="Married - Filed Joint Return"),S10+AA10&lt;250000),(S10+AA10)*0.0145,IF(S10+AA10&gt;200000,(200000*0.0145)+((S10+AA10-200000)*0.0235),(S10+AA10)*0.0145))),3)</f>
        <v>0</v>
      </c>
    </row>
    <row r="29" spans="2:62" x14ac:dyDescent="0.35">
      <c r="B29" s="33"/>
      <c r="C29" s="22"/>
      <c r="D29" s="22" t="s">
        <v>4</v>
      </c>
      <c r="E29" s="96" t="s">
        <v>205</v>
      </c>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7"/>
      <c r="AI29" s="28" t="s">
        <v>135</v>
      </c>
      <c r="AJ29" s="44">
        <f>ROUND(IF(AND(OR(AA8="Married - Filed Joint Return",AND(S10&gt;0,AA10&gt;0)),S10+AA10&gt;294000),18228,IF(OR(AA8="Married - Filed Joint Return",AND(S10&gt;0,AA10&gt;0)),(S10+AA10)*0.062,IF(AND(OR(S10&lt;=0,AA10&lt;=0),S10+AA10&gt;147000),9114,(S10+AA10)*0.062))),3)</f>
        <v>0</v>
      </c>
    </row>
    <row r="30" spans="2:62" x14ac:dyDescent="0.35">
      <c r="B30" s="33"/>
      <c r="C30" s="22" t="s">
        <v>20</v>
      </c>
      <c r="D30" s="96" t="s">
        <v>200</v>
      </c>
      <c r="E30" s="96"/>
      <c r="F30" s="96"/>
      <c r="G30" s="96"/>
      <c r="H30" s="96"/>
      <c r="I30" s="96"/>
      <c r="J30" s="96"/>
      <c r="K30" s="96"/>
      <c r="L30" s="96"/>
      <c r="M30" s="96"/>
      <c r="N30" s="96"/>
      <c r="O30" s="96"/>
      <c r="P30" s="96"/>
      <c r="Q30" s="96"/>
      <c r="R30" s="96"/>
      <c r="S30" s="96"/>
      <c r="T30" s="96"/>
      <c r="U30" s="96"/>
      <c r="V30" s="96"/>
      <c r="W30" s="96"/>
      <c r="X30" s="96"/>
      <c r="Y30" s="96"/>
      <c r="Z30" s="96"/>
      <c r="AA30" s="96"/>
      <c r="AB30" s="96"/>
      <c r="AC30" s="216" t="s">
        <v>206</v>
      </c>
      <c r="AD30" s="217"/>
      <c r="AE30" s="217"/>
      <c r="AF30" s="217"/>
      <c r="AG30" s="217"/>
      <c r="AH30" s="218"/>
      <c r="AI30" s="210" t="s">
        <v>135</v>
      </c>
      <c r="AJ30" s="213">
        <f>ROUND(IF(ISBLANK(AC32),0,IF(AC32="Married",27750,17310)),0)</f>
        <v>0</v>
      </c>
    </row>
    <row r="31" spans="2:62" x14ac:dyDescent="0.35">
      <c r="B31" s="23"/>
      <c r="C31" s="24"/>
      <c r="D31" s="35" t="s">
        <v>16</v>
      </c>
      <c r="E31" s="94" t="s">
        <v>201</v>
      </c>
      <c r="F31" s="94"/>
      <c r="G31" s="94"/>
      <c r="H31" s="94"/>
      <c r="I31" s="94"/>
      <c r="J31" s="94"/>
      <c r="K31" s="94"/>
      <c r="L31" s="94"/>
      <c r="M31" s="94"/>
      <c r="N31" s="94"/>
      <c r="O31" s="94"/>
      <c r="P31" s="94"/>
      <c r="Q31" s="94"/>
      <c r="R31" s="94"/>
      <c r="S31" s="94"/>
      <c r="T31" s="94"/>
      <c r="U31" s="94"/>
      <c r="V31" s="94"/>
      <c r="W31" s="94"/>
      <c r="X31" s="94"/>
      <c r="Y31" s="94"/>
      <c r="Z31" s="94"/>
      <c r="AA31" s="94"/>
      <c r="AB31" s="94"/>
      <c r="AC31" s="219"/>
      <c r="AD31" s="220"/>
      <c r="AE31" s="220"/>
      <c r="AF31" s="220"/>
      <c r="AG31" s="220"/>
      <c r="AH31" s="221"/>
      <c r="AI31" s="211"/>
      <c r="AJ31" s="214"/>
    </row>
    <row r="32" spans="2:62" x14ac:dyDescent="0.35">
      <c r="B32" s="29"/>
      <c r="C32" s="19"/>
      <c r="D32" s="37" t="s">
        <v>16</v>
      </c>
      <c r="E32" s="92" t="s">
        <v>202</v>
      </c>
      <c r="F32" s="92"/>
      <c r="G32" s="92"/>
      <c r="H32" s="92"/>
      <c r="I32" s="92"/>
      <c r="J32" s="92"/>
      <c r="K32" s="92"/>
      <c r="L32" s="92"/>
      <c r="M32" s="92"/>
      <c r="N32" s="92"/>
      <c r="O32" s="92"/>
      <c r="P32" s="92"/>
      <c r="Q32" s="92"/>
      <c r="R32" s="92"/>
      <c r="S32" s="92"/>
      <c r="T32" s="92"/>
      <c r="U32" s="92"/>
      <c r="V32" s="92"/>
      <c r="W32" s="92"/>
      <c r="X32" s="92"/>
      <c r="Y32" s="92"/>
      <c r="Z32" s="92"/>
      <c r="AA32" s="92"/>
      <c r="AB32" s="92"/>
      <c r="AC32" s="130"/>
      <c r="AD32" s="131"/>
      <c r="AE32" s="131"/>
      <c r="AF32" s="131"/>
      <c r="AG32" s="131"/>
      <c r="AH32" s="132"/>
      <c r="AI32" s="212"/>
      <c r="AJ32" s="215"/>
    </row>
    <row r="33" spans="2:62" x14ac:dyDescent="0.35">
      <c r="B33" s="33"/>
      <c r="C33" s="22" t="s">
        <v>21</v>
      </c>
      <c r="D33" s="96" t="s">
        <v>89</v>
      </c>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7"/>
      <c r="AI33" s="98" t="s">
        <v>135</v>
      </c>
      <c r="AJ33" s="209">
        <f>ROUND(IF(AC32="unmarried",0,IF(0.35*(S10+AA10)&gt;4730,4730,0.35*(S10+AA10))),0)</f>
        <v>0</v>
      </c>
    </row>
    <row r="34" spans="2:62" x14ac:dyDescent="0.35">
      <c r="B34" s="23"/>
      <c r="C34" s="24"/>
      <c r="D34" s="35" t="s">
        <v>16</v>
      </c>
      <c r="E34" s="94" t="s">
        <v>207</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5"/>
      <c r="AI34" s="98"/>
      <c r="AJ34" s="209"/>
    </row>
    <row r="35" spans="2:62" x14ac:dyDescent="0.35">
      <c r="B35" s="23"/>
      <c r="C35" s="24"/>
      <c r="D35" s="35" t="s">
        <v>16</v>
      </c>
      <c r="E35" s="94" t="s">
        <v>208</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c r="AI35" s="98"/>
      <c r="AJ35" s="209"/>
    </row>
    <row r="36" spans="2:62" x14ac:dyDescent="0.35">
      <c r="B36" s="23"/>
      <c r="C36" s="24"/>
      <c r="D36" s="24"/>
      <c r="E36" s="35" t="s">
        <v>16</v>
      </c>
      <c r="F36" s="94" t="s">
        <v>209</v>
      </c>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5"/>
      <c r="AI36" s="98"/>
      <c r="AJ36" s="209"/>
    </row>
    <row r="37" spans="2:62" x14ac:dyDescent="0.35">
      <c r="B37" s="29"/>
      <c r="C37" s="19"/>
      <c r="D37" s="19"/>
      <c r="E37" s="37" t="s">
        <v>16</v>
      </c>
      <c r="F37" s="92" t="s">
        <v>92</v>
      </c>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3"/>
      <c r="AI37" s="98"/>
      <c r="AJ37" s="209"/>
    </row>
    <row r="38" spans="2:62" x14ac:dyDescent="0.35">
      <c r="B38" s="29"/>
      <c r="C38" s="19" t="s">
        <v>22</v>
      </c>
      <c r="D38" s="92" t="s">
        <v>210</v>
      </c>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3"/>
      <c r="AI38" s="28" t="s">
        <v>136</v>
      </c>
      <c r="AJ38" s="44">
        <f>ROUND(SUM(AJ26,AJ28,AJ29,AJ30,AJ33),0)</f>
        <v>0</v>
      </c>
    </row>
    <row r="39" spans="2:62" x14ac:dyDescent="0.35">
      <c r="B39" s="119" t="s">
        <v>55</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90"/>
      <c r="AJ39" s="91"/>
    </row>
    <row r="40" spans="2:62" x14ac:dyDescent="0.35">
      <c r="B40" s="85" t="s">
        <v>211</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7"/>
      <c r="AI40" s="34"/>
      <c r="AJ40" s="44">
        <f>ROUND(AJ22,0)</f>
        <v>0</v>
      </c>
    </row>
    <row r="41" spans="2:62" x14ac:dyDescent="0.35">
      <c r="B41" s="85" t="s">
        <v>212</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7"/>
      <c r="AI41" s="28" t="s">
        <v>137</v>
      </c>
      <c r="AJ41" s="44">
        <f>ROUND(AJ38,0)</f>
        <v>0</v>
      </c>
    </row>
    <row r="42" spans="2:62" x14ac:dyDescent="0.35">
      <c r="B42" s="33"/>
      <c r="C42" s="22" t="s">
        <v>26</v>
      </c>
      <c r="D42" s="96" t="s">
        <v>213</v>
      </c>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7"/>
      <c r="AI42" s="98" t="s">
        <v>136</v>
      </c>
      <c r="AJ42" s="209">
        <f>ROUND(AJ22-AJ38,0)</f>
        <v>0</v>
      </c>
    </row>
    <row r="43" spans="2:62" x14ac:dyDescent="0.35">
      <c r="B43" s="29"/>
      <c r="C43" s="19"/>
      <c r="D43" s="37" t="s">
        <v>16</v>
      </c>
      <c r="E43" s="92" t="s">
        <v>82</v>
      </c>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3"/>
      <c r="AI43" s="98"/>
      <c r="AJ43" s="209"/>
    </row>
    <row r="44" spans="2:62" x14ac:dyDescent="0.35">
      <c r="B44" s="31"/>
      <c r="C44" s="32" t="s">
        <v>28</v>
      </c>
      <c r="D44" s="86" t="s">
        <v>287</v>
      </c>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7"/>
      <c r="AI44" s="28" t="s">
        <v>138</v>
      </c>
      <c r="AJ44" s="38">
        <v>0.5</v>
      </c>
    </row>
    <row r="45" spans="2:62" x14ac:dyDescent="0.35">
      <c r="B45" s="31"/>
      <c r="C45" s="32" t="s">
        <v>29</v>
      </c>
      <c r="D45" s="86" t="s">
        <v>214</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7"/>
      <c r="AI45" s="28" t="s">
        <v>136</v>
      </c>
      <c r="AJ45" s="45">
        <f>ROUND(AJ42*AJ44,0)</f>
        <v>0</v>
      </c>
    </row>
    <row r="46" spans="2:62" x14ac:dyDescent="0.3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row>
    <row r="47" spans="2:62" ht="18" customHeight="1" x14ac:dyDescent="0.35">
      <c r="B47" s="99" t="s">
        <v>61</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1"/>
      <c r="AK47" s="141" t="s">
        <v>449</v>
      </c>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3"/>
    </row>
    <row r="48" spans="2:62" x14ac:dyDescent="0.35">
      <c r="B48" s="31"/>
      <c r="C48" s="2" t="s">
        <v>30</v>
      </c>
      <c r="D48" s="86" t="s">
        <v>95</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7"/>
      <c r="AI48" s="34"/>
      <c r="AJ48" s="43"/>
      <c r="AK48" s="144"/>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6"/>
    </row>
    <row r="49" spans="2:36" x14ac:dyDescent="0.35">
      <c r="B49" s="33"/>
      <c r="C49" s="32" t="s">
        <v>31</v>
      </c>
      <c r="D49" s="86" t="s">
        <v>129</v>
      </c>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7"/>
      <c r="AI49" s="28"/>
      <c r="AJ49" s="43"/>
    </row>
    <row r="50" spans="2:36" x14ac:dyDescent="0.35">
      <c r="B50" s="33"/>
      <c r="C50" s="22" t="s">
        <v>32</v>
      </c>
      <c r="D50" s="96" t="s">
        <v>97</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7"/>
      <c r="AI50" s="98" t="s">
        <v>135</v>
      </c>
      <c r="AJ50" s="208"/>
    </row>
    <row r="51" spans="2:36" x14ac:dyDescent="0.35">
      <c r="B51" s="23"/>
      <c r="C51" s="24"/>
      <c r="D51" s="35" t="s">
        <v>16</v>
      </c>
      <c r="E51" s="124" t="s">
        <v>98</v>
      </c>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5"/>
      <c r="AI51" s="98"/>
      <c r="AJ51" s="208"/>
    </row>
    <row r="52" spans="2:36" x14ac:dyDescent="0.35">
      <c r="B52" s="23"/>
      <c r="C52" s="24"/>
      <c r="D52" s="35"/>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c r="AI52" s="98"/>
      <c r="AJ52" s="208"/>
    </row>
    <row r="53" spans="2:36" x14ac:dyDescent="0.35">
      <c r="B53" s="23"/>
      <c r="C53" s="24"/>
      <c r="D53" s="35"/>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5"/>
      <c r="AI53" s="98"/>
      <c r="AJ53" s="208"/>
    </row>
    <row r="54" spans="2:36" x14ac:dyDescent="0.35">
      <c r="B54" s="29"/>
      <c r="C54" s="19"/>
      <c r="D54" s="37" t="s">
        <v>16</v>
      </c>
      <c r="E54" s="92" t="s">
        <v>99</v>
      </c>
      <c r="F54" s="92"/>
      <c r="G54" s="92"/>
      <c r="H54" s="92"/>
      <c r="I54" s="92"/>
      <c r="J54" s="92"/>
      <c r="K54" s="92"/>
      <c r="L54" s="92"/>
      <c r="M54" s="92"/>
      <c r="N54" s="92"/>
      <c r="O54" s="92"/>
      <c r="P54" s="92"/>
      <c r="Q54" s="92"/>
      <c r="R54" s="92"/>
      <c r="S54" s="92"/>
      <c r="T54" s="92"/>
      <c r="U54" s="92"/>
      <c r="V54" s="92"/>
      <c r="W54" s="92"/>
      <c r="X54" s="92"/>
      <c r="Y54" s="92"/>
      <c r="Z54" s="92"/>
      <c r="AA54" s="92"/>
      <c r="AB54" s="94"/>
      <c r="AC54" s="94"/>
      <c r="AD54" s="94"/>
      <c r="AE54" s="94"/>
      <c r="AF54" s="94"/>
      <c r="AG54" s="94"/>
      <c r="AH54" s="95"/>
      <c r="AI54" s="98"/>
      <c r="AJ54" s="208"/>
    </row>
    <row r="55" spans="2:36" x14ac:dyDescent="0.35">
      <c r="B55" s="33"/>
      <c r="C55" s="22" t="s">
        <v>33</v>
      </c>
      <c r="D55" s="96" t="s">
        <v>215</v>
      </c>
      <c r="E55" s="96"/>
      <c r="F55" s="96"/>
      <c r="G55" s="96"/>
      <c r="H55" s="96"/>
      <c r="I55" s="96"/>
      <c r="J55" s="96"/>
      <c r="K55" s="96"/>
      <c r="L55" s="96"/>
      <c r="M55" s="96"/>
      <c r="N55" s="96"/>
      <c r="O55" s="96"/>
      <c r="P55" s="96"/>
      <c r="Q55" s="96"/>
      <c r="R55" s="96"/>
      <c r="S55" s="96"/>
      <c r="T55" s="96"/>
      <c r="U55" s="96"/>
      <c r="V55" s="96"/>
      <c r="W55" s="96"/>
      <c r="X55" s="96"/>
      <c r="Y55" s="96"/>
      <c r="Z55" s="96"/>
      <c r="AA55" s="97"/>
      <c r="AB55" s="109" t="s">
        <v>146</v>
      </c>
      <c r="AC55" s="110"/>
      <c r="AD55" s="110"/>
      <c r="AE55" s="110"/>
      <c r="AF55" s="110"/>
      <c r="AG55" s="110"/>
      <c r="AH55" s="111"/>
      <c r="AI55" s="98" t="s">
        <v>135</v>
      </c>
      <c r="AJ55" s="209">
        <f>ROUND(IF(ISBLANK(AB56),0,VLOOKUP(AB56,'Formula B Tables'!B37:AE41,16,TRUE)),0)</f>
        <v>0</v>
      </c>
    </row>
    <row r="56" spans="2:36" x14ac:dyDescent="0.35">
      <c r="B56" s="29"/>
      <c r="C56" s="19"/>
      <c r="D56" s="37" t="s">
        <v>16</v>
      </c>
      <c r="E56" s="92" t="s">
        <v>288</v>
      </c>
      <c r="F56" s="92"/>
      <c r="G56" s="92"/>
      <c r="H56" s="92"/>
      <c r="I56" s="92"/>
      <c r="J56" s="92"/>
      <c r="K56" s="92"/>
      <c r="L56" s="92"/>
      <c r="M56" s="92"/>
      <c r="N56" s="92"/>
      <c r="O56" s="92"/>
      <c r="P56" s="92"/>
      <c r="Q56" s="92"/>
      <c r="R56" s="92"/>
      <c r="S56" s="92"/>
      <c r="T56" s="92"/>
      <c r="U56" s="92"/>
      <c r="V56" s="92"/>
      <c r="W56" s="92"/>
      <c r="X56" s="92"/>
      <c r="Y56" s="92"/>
      <c r="Z56" s="92"/>
      <c r="AA56" s="93"/>
      <c r="AB56" s="227"/>
      <c r="AC56" s="228"/>
      <c r="AD56" s="228"/>
      <c r="AE56" s="228"/>
      <c r="AF56" s="228"/>
      <c r="AG56" s="228"/>
      <c r="AH56" s="229"/>
      <c r="AI56" s="98"/>
      <c r="AJ56" s="209"/>
    </row>
    <row r="57" spans="2:36" x14ac:dyDescent="0.35">
      <c r="B57" s="31"/>
      <c r="C57" s="32" t="s">
        <v>34</v>
      </c>
      <c r="D57" s="86" t="s">
        <v>219</v>
      </c>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7"/>
      <c r="AI57" s="28" t="s">
        <v>136</v>
      </c>
      <c r="AJ57" s="44">
        <f>ROUND(SUM(AJ48:AJ56),0)</f>
        <v>0</v>
      </c>
    </row>
    <row r="58" spans="2:36" x14ac:dyDescent="0.35">
      <c r="B58" s="33"/>
      <c r="C58" s="22" t="s">
        <v>35</v>
      </c>
      <c r="D58" s="96" t="s">
        <v>216</v>
      </c>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7"/>
      <c r="AI58" s="28"/>
      <c r="AJ58" s="44">
        <v>0</v>
      </c>
    </row>
    <row r="59" spans="2:36" x14ac:dyDescent="0.35">
      <c r="B59" s="33"/>
      <c r="C59" s="22" t="s">
        <v>40</v>
      </c>
      <c r="D59" s="96" t="s">
        <v>217</v>
      </c>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7"/>
      <c r="AI59" s="210" t="s">
        <v>136</v>
      </c>
      <c r="AJ59" s="213">
        <f>ROUND(AJ57-AJ58,0)</f>
        <v>0</v>
      </c>
    </row>
    <row r="60" spans="2:36" x14ac:dyDescent="0.35">
      <c r="B60" s="29"/>
      <c r="C60" s="19"/>
      <c r="D60" s="37" t="s">
        <v>16</v>
      </c>
      <c r="E60" s="92" t="s">
        <v>218</v>
      </c>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3"/>
      <c r="AI60" s="212"/>
      <c r="AJ60" s="215"/>
    </row>
    <row r="61" spans="2:36" x14ac:dyDescent="0.35">
      <c r="B61" s="29"/>
      <c r="C61" s="19" t="s">
        <v>42</v>
      </c>
      <c r="D61" s="92" t="s">
        <v>184</v>
      </c>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3"/>
      <c r="AI61" s="28" t="s">
        <v>138</v>
      </c>
      <c r="AJ61" s="38">
        <v>0.2</v>
      </c>
    </row>
    <row r="62" spans="2:36" x14ac:dyDescent="0.35">
      <c r="B62" s="33"/>
      <c r="C62" s="22" t="s">
        <v>45</v>
      </c>
      <c r="D62" s="96" t="s">
        <v>131</v>
      </c>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7"/>
      <c r="AI62" s="98" t="s">
        <v>136</v>
      </c>
      <c r="AJ62" s="209">
        <f>ROUND(IF(AJ59*AJ61&gt;0,AJ59*AJ61,0),0)</f>
        <v>0</v>
      </c>
    </row>
    <row r="63" spans="2:36" x14ac:dyDescent="0.35">
      <c r="B63" s="23"/>
      <c r="C63" s="24"/>
      <c r="D63" s="35" t="s">
        <v>16</v>
      </c>
      <c r="E63" s="94" t="s">
        <v>220</v>
      </c>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5"/>
      <c r="AI63" s="98"/>
      <c r="AJ63" s="209"/>
    </row>
    <row r="64" spans="2:36" x14ac:dyDescent="0.35">
      <c r="B64" s="29"/>
      <c r="C64" s="19"/>
      <c r="D64" s="37" t="s">
        <v>16</v>
      </c>
      <c r="E64" s="92" t="s">
        <v>99</v>
      </c>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3"/>
      <c r="AI64" s="98"/>
      <c r="AJ64" s="209"/>
    </row>
    <row r="65" spans="2:36" x14ac:dyDescent="0.3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row>
    <row r="66" spans="2:36" ht="18.5" x14ac:dyDescent="0.35">
      <c r="B66" s="99" t="s">
        <v>66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1"/>
    </row>
    <row r="67" spans="2:36" x14ac:dyDescent="0.35">
      <c r="B67" s="223" t="s">
        <v>289</v>
      </c>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7"/>
      <c r="AI67" s="224" t="s">
        <v>135</v>
      </c>
      <c r="AJ67" s="213">
        <f>ROUND(AJ45,0)</f>
        <v>0</v>
      </c>
    </row>
    <row r="68" spans="2:36" x14ac:dyDescent="0.35">
      <c r="B68" s="29"/>
      <c r="C68" s="37" t="s">
        <v>16</v>
      </c>
      <c r="D68" s="92" t="s">
        <v>82</v>
      </c>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3"/>
      <c r="AI68" s="225"/>
      <c r="AJ68" s="215"/>
    </row>
    <row r="69" spans="2:36" x14ac:dyDescent="0.35">
      <c r="B69" s="226" t="s">
        <v>290</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3"/>
      <c r="AI69" s="28" t="s">
        <v>135</v>
      </c>
      <c r="AJ69" s="45">
        <f>ROUND(AJ62,0)</f>
        <v>0</v>
      </c>
    </row>
    <row r="70" spans="2:36" x14ac:dyDescent="0.35">
      <c r="B70" s="33"/>
      <c r="C70" s="22" t="s">
        <v>47</v>
      </c>
      <c r="D70" s="96" t="s">
        <v>291</v>
      </c>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7"/>
      <c r="AI70" s="98" t="s">
        <v>136</v>
      </c>
      <c r="AJ70" s="222">
        <f>ROUND(IF(AJ45+AJ62&lt;-1500,-1500,AJ45+AJ62),0)</f>
        <v>0</v>
      </c>
    </row>
    <row r="71" spans="2:36" x14ac:dyDescent="0.35">
      <c r="B71" s="23"/>
      <c r="C71" s="24"/>
      <c r="D71" s="35" t="s">
        <v>16</v>
      </c>
      <c r="E71" s="94" t="s">
        <v>133</v>
      </c>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5"/>
      <c r="AI71" s="98"/>
      <c r="AJ71" s="222"/>
    </row>
    <row r="72" spans="2:36" x14ac:dyDescent="0.35">
      <c r="B72" s="29"/>
      <c r="C72" s="19"/>
      <c r="D72" s="37" t="s">
        <v>16</v>
      </c>
      <c r="E72" s="92" t="s">
        <v>134</v>
      </c>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3"/>
      <c r="AI72" s="98"/>
      <c r="AJ72" s="222"/>
    </row>
    <row r="76" spans="2:36" x14ac:dyDescent="0.35">
      <c r="AI76" s="2"/>
    </row>
  </sheetData>
  <sheetProtection algorithmName="SHA-512" hashValue="yTFr18Rx/Ko11kEN8/+DMtIatJ0YKTGsK6Mvvrxg+QYoMyc8mvV/MK6Hsmwr+g6TkRs044oSXW7PTcxrbsReDA==" saltValue="ZMbBC3uie21pv2ehukfkgw==" spinCount="100000" sheet="1" objects="1" scenarios="1"/>
  <mergeCells count="109">
    <mergeCell ref="AK47:BJ48"/>
    <mergeCell ref="B2:AJ2"/>
    <mergeCell ref="B3:AJ3"/>
    <mergeCell ref="B4:AJ4"/>
    <mergeCell ref="F8:Z8"/>
    <mergeCell ref="E7:Z7"/>
    <mergeCell ref="AA8:AH8"/>
    <mergeCell ref="AA7:AH7"/>
    <mergeCell ref="E19:AH19"/>
    <mergeCell ref="B5:AJ5"/>
    <mergeCell ref="B6:AJ6"/>
    <mergeCell ref="E11:AH11"/>
    <mergeCell ref="E12:AH12"/>
    <mergeCell ref="E13:AH13"/>
    <mergeCell ref="E14:AH14"/>
    <mergeCell ref="E15:AH15"/>
    <mergeCell ref="D16:AH16"/>
    <mergeCell ref="B17:AJ17"/>
    <mergeCell ref="E18:AH18"/>
    <mergeCell ref="AJ7:AJ10"/>
    <mergeCell ref="F9:R10"/>
    <mergeCell ref="S9:Z9"/>
    <mergeCell ref="AA9:AH9"/>
    <mergeCell ref="S10:Z10"/>
    <mergeCell ref="AB55:AH55"/>
    <mergeCell ref="D70:AH70"/>
    <mergeCell ref="AI70:AI72"/>
    <mergeCell ref="AJ70:AJ72"/>
    <mergeCell ref="E71:AH71"/>
    <mergeCell ref="E72:AH72"/>
    <mergeCell ref="B67:AH67"/>
    <mergeCell ref="B65:AJ65"/>
    <mergeCell ref="D68:AH68"/>
    <mergeCell ref="AI67:AI68"/>
    <mergeCell ref="AJ67:AJ68"/>
    <mergeCell ref="B66:AJ66"/>
    <mergeCell ref="B69:AH69"/>
    <mergeCell ref="AI55:AI56"/>
    <mergeCell ref="AJ55:AJ56"/>
    <mergeCell ref="AB56:AH56"/>
    <mergeCell ref="D50:AH50"/>
    <mergeCell ref="D49:AH49"/>
    <mergeCell ref="D48:AH48"/>
    <mergeCell ref="D44:AH44"/>
    <mergeCell ref="AJ62:AJ64"/>
    <mergeCell ref="E63:AH63"/>
    <mergeCell ref="E64:AH64"/>
    <mergeCell ref="AI59:AI60"/>
    <mergeCell ref="AJ59:AJ60"/>
    <mergeCell ref="D62:AH62"/>
    <mergeCell ref="AI62:AI64"/>
    <mergeCell ref="D61:AH61"/>
    <mergeCell ref="B46:AJ46"/>
    <mergeCell ref="B47:AJ47"/>
    <mergeCell ref="AI50:AI54"/>
    <mergeCell ref="AJ50:AJ54"/>
    <mergeCell ref="E51:AH53"/>
    <mergeCell ref="E54:AH54"/>
    <mergeCell ref="E56:AA56"/>
    <mergeCell ref="D55:AA55"/>
    <mergeCell ref="E60:AH60"/>
    <mergeCell ref="D59:AH59"/>
    <mergeCell ref="D57:AH57"/>
    <mergeCell ref="D58:AH58"/>
    <mergeCell ref="AK6:BJ6"/>
    <mergeCell ref="AK7:BJ10"/>
    <mergeCell ref="AK11:BJ11"/>
    <mergeCell ref="AK12:BJ12"/>
    <mergeCell ref="AK13:BJ13"/>
    <mergeCell ref="AJ33:AJ37"/>
    <mergeCell ref="AK14:BJ14"/>
    <mergeCell ref="AK15:BJ15"/>
    <mergeCell ref="AK19:BJ19"/>
    <mergeCell ref="AK26:BJ26"/>
    <mergeCell ref="B25:AJ25"/>
    <mergeCell ref="D26:AH26"/>
    <mergeCell ref="D27:AH27"/>
    <mergeCell ref="E28:AH28"/>
    <mergeCell ref="E29:AH29"/>
    <mergeCell ref="AI30:AI32"/>
    <mergeCell ref="AJ30:AJ32"/>
    <mergeCell ref="AC30:AH31"/>
    <mergeCell ref="AC32:AH32"/>
    <mergeCell ref="D30:AB30"/>
    <mergeCell ref="E31:AB31"/>
    <mergeCell ref="E32:AB32"/>
    <mergeCell ref="D38:AH38"/>
    <mergeCell ref="AI33:AI37"/>
    <mergeCell ref="D45:AH45"/>
    <mergeCell ref="AA10:AH10"/>
    <mergeCell ref="E20:AH20"/>
    <mergeCell ref="D21:AH21"/>
    <mergeCell ref="D22:AH22"/>
    <mergeCell ref="AI22:AI24"/>
    <mergeCell ref="AJ22:AJ24"/>
    <mergeCell ref="E23:AH23"/>
    <mergeCell ref="E24:AH24"/>
    <mergeCell ref="F37:AH37"/>
    <mergeCell ref="F36:AH36"/>
    <mergeCell ref="E35:AH35"/>
    <mergeCell ref="E34:AH34"/>
    <mergeCell ref="D33:AH33"/>
    <mergeCell ref="B39:AJ39"/>
    <mergeCell ref="B40:AH40"/>
    <mergeCell ref="B41:AH41"/>
    <mergeCell ref="D42:AH42"/>
    <mergeCell ref="AI42:AI43"/>
    <mergeCell ref="AJ42:AJ43"/>
    <mergeCell ref="E43:AH43"/>
  </mergeCells>
  <conditionalFormatting sqref="AJ48:AJ54 AB56:AH56">
    <cfRule type="expression" dxfId="1" priority="1">
      <formula>AND($AJ$7&gt;0,$AJ$7&lt;60000)</formula>
    </cfRule>
  </conditionalFormatting>
  <pageMargins left="0.7" right="0.7" top="0.75" bottom="0.75" header="0.3" footer="0.3"/>
  <pageSetup scale="64" fitToHeight="2" orientation="portrait" r:id="rId1"/>
  <ignoredErrors>
    <ignoredError sqref="C16 C21:C22 F37 C26:C33 C38 C42:C45 C56 C51:C54 C48:C50 C55 C57 C58:C62 C7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13E935F0-6568-4F94-BD2E-6B4919EE1489}">
          <x14:formula1>
            <xm:f>'Dropdown Menus'!$A$1:$A$5</xm:f>
          </x14:formula1>
          <xm:sqref>AA8:AH8</xm:sqref>
        </x14:dataValidation>
        <x14:dataValidation type="list" allowBlank="1" showInputMessage="1" showErrorMessage="1" xr:uid="{55B9C163-5923-4098-B572-65611E9B40BF}">
          <x14:formula1>
            <xm:f>'Dropdown Menus'!$A$10:$A$11</xm:f>
          </x14:formula1>
          <xm:sqref>AC32:AH32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6DA8F-9AE2-4F12-9B9D-86C41F30F9CB}">
  <sheetPr>
    <tabColor theme="5" tint="0.79998168889431442"/>
  </sheetPr>
  <dimension ref="B2:AE68"/>
  <sheetViews>
    <sheetView showGridLines="0" showRowColHeaders="0" workbookViewId="0"/>
  </sheetViews>
  <sheetFormatPr defaultColWidth="3.453125" defaultRowHeight="14.5" x14ac:dyDescent="0.35"/>
  <sheetData>
    <row r="2" spans="2:31" x14ac:dyDescent="0.35">
      <c r="B2" s="170" t="s">
        <v>221</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row>
    <row r="3" spans="2:31" ht="14.4" customHeight="1" x14ac:dyDescent="0.35">
      <c r="B3" s="153" t="s">
        <v>149</v>
      </c>
      <c r="C3" s="153"/>
      <c r="D3" s="153"/>
      <c r="E3" s="153"/>
      <c r="F3" s="153"/>
      <c r="G3" s="153"/>
      <c r="H3" s="153"/>
      <c r="I3" s="153"/>
      <c r="J3" s="182" t="s">
        <v>150</v>
      </c>
      <c r="K3" s="183"/>
      <c r="L3" s="183"/>
      <c r="M3" s="183"/>
      <c r="N3" s="183"/>
      <c r="O3" s="183"/>
      <c r="P3" s="183"/>
      <c r="Q3" s="183"/>
      <c r="R3" s="183"/>
      <c r="S3" s="183"/>
      <c r="T3" s="183"/>
      <c r="U3" s="183"/>
      <c r="V3" s="183"/>
      <c r="W3" s="183"/>
      <c r="X3" s="183"/>
      <c r="Y3" s="183"/>
      <c r="Z3" s="183"/>
      <c r="AA3" s="183"/>
      <c r="AB3" s="183"/>
      <c r="AC3" s="183"/>
      <c r="AD3" s="183"/>
      <c r="AE3" s="184"/>
    </row>
    <row r="4" spans="2:31" ht="14.4" customHeight="1" x14ac:dyDescent="0.35">
      <c r="B4" s="153"/>
      <c r="C4" s="153"/>
      <c r="D4" s="153"/>
      <c r="E4" s="153"/>
      <c r="F4" s="153"/>
      <c r="G4" s="153"/>
      <c r="H4" s="153"/>
      <c r="I4" s="153"/>
      <c r="J4" s="185"/>
      <c r="K4" s="186"/>
      <c r="L4" s="186"/>
      <c r="M4" s="186"/>
      <c r="N4" s="186"/>
      <c r="O4" s="186"/>
      <c r="P4" s="186"/>
      <c r="Q4" s="186"/>
      <c r="R4" s="186"/>
      <c r="S4" s="186"/>
      <c r="T4" s="186"/>
      <c r="U4" s="186"/>
      <c r="V4" s="186"/>
      <c r="W4" s="186"/>
      <c r="X4" s="186"/>
      <c r="Y4" s="186"/>
      <c r="Z4" s="186"/>
      <c r="AA4" s="186"/>
      <c r="AB4" s="186"/>
      <c r="AC4" s="186"/>
      <c r="AD4" s="186"/>
      <c r="AE4" s="187"/>
    </row>
    <row r="5" spans="2:31" x14ac:dyDescent="0.35">
      <c r="B5" s="191" t="s">
        <v>151</v>
      </c>
      <c r="C5" s="192"/>
      <c r="D5" s="192"/>
      <c r="E5" s="192"/>
      <c r="F5" s="192"/>
      <c r="G5" s="192"/>
      <c r="H5" s="192"/>
      <c r="I5" s="193"/>
      <c r="J5" s="180" t="s">
        <v>224</v>
      </c>
      <c r="K5" s="150"/>
      <c r="L5" s="150"/>
      <c r="M5" s="150"/>
      <c r="N5" s="150"/>
      <c r="O5" s="150"/>
      <c r="P5" s="150"/>
      <c r="Q5" s="150"/>
      <c r="R5" s="150"/>
      <c r="S5" s="150"/>
      <c r="T5" s="150"/>
      <c r="U5" s="150"/>
      <c r="V5" s="150"/>
      <c r="W5" s="150"/>
      <c r="X5" s="150"/>
      <c r="Y5" s="150"/>
      <c r="Z5" s="150"/>
      <c r="AA5" s="150"/>
      <c r="AB5" s="150"/>
      <c r="AC5" s="150"/>
      <c r="AD5" s="150"/>
      <c r="AE5" s="181"/>
    </row>
    <row r="6" spans="2:31" x14ac:dyDescent="0.35">
      <c r="B6" s="194"/>
      <c r="C6" s="195"/>
      <c r="D6" s="195"/>
      <c r="E6" s="195"/>
      <c r="F6" s="195"/>
      <c r="G6" s="195"/>
      <c r="H6" s="195"/>
      <c r="I6" s="196"/>
      <c r="J6" s="6" t="s">
        <v>16</v>
      </c>
      <c r="K6" s="149" t="s">
        <v>223</v>
      </c>
      <c r="L6" s="149"/>
      <c r="M6" s="149"/>
      <c r="N6" s="149"/>
      <c r="O6" s="149"/>
      <c r="P6" s="149"/>
      <c r="Q6" s="149"/>
      <c r="R6" s="149"/>
      <c r="S6" s="149"/>
      <c r="T6" s="149"/>
      <c r="U6" s="149"/>
      <c r="V6" s="149"/>
      <c r="W6" s="149"/>
      <c r="X6" s="149"/>
      <c r="Y6" s="149"/>
      <c r="Z6" s="149"/>
      <c r="AA6" s="149"/>
      <c r="AB6" s="149"/>
      <c r="AC6" s="149"/>
      <c r="AD6" s="149"/>
      <c r="AE6" s="178"/>
    </row>
    <row r="7" spans="2:31" x14ac:dyDescent="0.35">
      <c r="B7" s="194"/>
      <c r="C7" s="195"/>
      <c r="D7" s="195"/>
      <c r="E7" s="195"/>
      <c r="F7" s="195"/>
      <c r="G7" s="195"/>
      <c r="H7" s="195"/>
      <c r="I7" s="196"/>
      <c r="J7" s="6" t="s">
        <v>16</v>
      </c>
      <c r="K7" s="149" t="s">
        <v>222</v>
      </c>
      <c r="L7" s="149"/>
      <c r="M7" s="149"/>
      <c r="N7" s="149"/>
      <c r="O7" s="149"/>
      <c r="P7" s="149"/>
      <c r="Q7" s="149"/>
      <c r="R7" s="149"/>
      <c r="S7" s="149"/>
      <c r="T7" s="149"/>
      <c r="U7" s="149"/>
      <c r="V7" s="149"/>
      <c r="W7" s="149"/>
      <c r="X7" s="149"/>
      <c r="Y7" s="149"/>
      <c r="Z7" s="149"/>
      <c r="AA7" s="149"/>
      <c r="AB7" s="149"/>
      <c r="AC7" s="149"/>
      <c r="AD7" s="149"/>
      <c r="AE7" s="178"/>
    </row>
    <row r="8" spans="2:31" x14ac:dyDescent="0.35">
      <c r="B8" s="194"/>
      <c r="C8" s="195"/>
      <c r="D8" s="195"/>
      <c r="E8" s="195"/>
      <c r="F8" s="195"/>
      <c r="G8" s="195"/>
      <c r="H8" s="195"/>
      <c r="I8" s="196"/>
      <c r="J8" s="179" t="s">
        <v>225</v>
      </c>
      <c r="K8" s="149"/>
      <c r="L8" s="149"/>
      <c r="M8" s="149"/>
      <c r="N8" s="149"/>
      <c r="O8" s="149"/>
      <c r="P8" s="149"/>
      <c r="Q8" s="149"/>
      <c r="R8" s="149"/>
      <c r="S8" s="149"/>
      <c r="T8" s="149"/>
      <c r="U8" s="149"/>
      <c r="V8" s="149"/>
      <c r="W8" s="149"/>
      <c r="X8" s="149"/>
      <c r="Y8" s="149"/>
      <c r="Z8" s="149"/>
      <c r="AA8" s="149"/>
      <c r="AB8" s="149"/>
      <c r="AC8" s="149"/>
      <c r="AD8" s="149"/>
      <c r="AE8" s="178"/>
    </row>
    <row r="9" spans="2:31" x14ac:dyDescent="0.35">
      <c r="B9" s="194"/>
      <c r="C9" s="195"/>
      <c r="D9" s="195"/>
      <c r="E9" s="195"/>
      <c r="F9" s="195"/>
      <c r="G9" s="195"/>
      <c r="H9" s="195"/>
      <c r="I9" s="196"/>
      <c r="J9" s="6" t="s">
        <v>16</v>
      </c>
      <c r="K9" s="234" t="s">
        <v>292</v>
      </c>
      <c r="L9" s="234"/>
      <c r="M9" s="234"/>
      <c r="N9" s="234"/>
      <c r="O9" s="234"/>
      <c r="P9" s="234"/>
      <c r="Q9" s="234"/>
      <c r="R9" s="234"/>
      <c r="S9" s="234"/>
      <c r="T9" s="234"/>
      <c r="U9" s="234"/>
      <c r="V9" s="234"/>
      <c r="W9" s="234"/>
      <c r="X9" s="234"/>
      <c r="Y9" s="234"/>
      <c r="Z9" s="234"/>
      <c r="AA9" s="234"/>
      <c r="AB9" s="234"/>
      <c r="AC9" s="234"/>
      <c r="AD9" s="234"/>
      <c r="AE9" s="235"/>
    </row>
    <row r="10" spans="2:31" x14ac:dyDescent="0.35">
      <c r="B10" s="194"/>
      <c r="C10" s="195"/>
      <c r="D10" s="195"/>
      <c r="E10" s="195"/>
      <c r="F10" s="195"/>
      <c r="G10" s="195"/>
      <c r="H10" s="195"/>
      <c r="I10" s="196"/>
      <c r="J10" s="6"/>
      <c r="K10" s="234"/>
      <c r="L10" s="234"/>
      <c r="M10" s="234"/>
      <c r="N10" s="234"/>
      <c r="O10" s="234"/>
      <c r="P10" s="234"/>
      <c r="Q10" s="234"/>
      <c r="R10" s="234"/>
      <c r="S10" s="234"/>
      <c r="T10" s="234"/>
      <c r="U10" s="234"/>
      <c r="V10" s="234"/>
      <c r="W10" s="234"/>
      <c r="X10" s="234"/>
      <c r="Y10" s="234"/>
      <c r="Z10" s="234"/>
      <c r="AA10" s="234"/>
      <c r="AB10" s="234"/>
      <c r="AC10" s="234"/>
      <c r="AD10" s="234"/>
      <c r="AE10" s="235"/>
    </row>
    <row r="11" spans="2:31" x14ac:dyDescent="0.35">
      <c r="B11" s="194"/>
      <c r="C11" s="195"/>
      <c r="D11" s="195"/>
      <c r="E11" s="195"/>
      <c r="F11" s="195"/>
      <c r="G11" s="195"/>
      <c r="H11" s="195"/>
      <c r="I11" s="196"/>
      <c r="J11" s="6" t="s">
        <v>16</v>
      </c>
      <c r="K11" s="234" t="s">
        <v>293</v>
      </c>
      <c r="L11" s="234"/>
      <c r="M11" s="234"/>
      <c r="N11" s="234"/>
      <c r="O11" s="234"/>
      <c r="P11" s="234"/>
      <c r="Q11" s="234"/>
      <c r="R11" s="234"/>
      <c r="S11" s="234"/>
      <c r="T11" s="234"/>
      <c r="U11" s="234"/>
      <c r="V11" s="234"/>
      <c r="W11" s="234"/>
      <c r="X11" s="234"/>
      <c r="Y11" s="234"/>
      <c r="Z11" s="234"/>
      <c r="AA11" s="234"/>
      <c r="AB11" s="234"/>
      <c r="AC11" s="234"/>
      <c r="AD11" s="234"/>
      <c r="AE11" s="235"/>
    </row>
    <row r="12" spans="2:31" x14ac:dyDescent="0.35">
      <c r="B12" s="194"/>
      <c r="C12" s="195"/>
      <c r="D12" s="195"/>
      <c r="E12" s="195"/>
      <c r="F12" s="195"/>
      <c r="G12" s="195"/>
      <c r="H12" s="195"/>
      <c r="I12" s="196"/>
      <c r="J12" s="6"/>
      <c r="K12" s="234"/>
      <c r="L12" s="234"/>
      <c r="M12" s="234"/>
      <c r="N12" s="234"/>
      <c r="O12" s="234"/>
      <c r="P12" s="234"/>
      <c r="Q12" s="234"/>
      <c r="R12" s="234"/>
      <c r="S12" s="234"/>
      <c r="T12" s="234"/>
      <c r="U12" s="234"/>
      <c r="V12" s="234"/>
      <c r="W12" s="234"/>
      <c r="X12" s="234"/>
      <c r="Y12" s="234"/>
      <c r="Z12" s="234"/>
      <c r="AA12" s="234"/>
      <c r="AB12" s="234"/>
      <c r="AC12" s="234"/>
      <c r="AD12" s="234"/>
      <c r="AE12" s="235"/>
    </row>
    <row r="13" spans="2:31" x14ac:dyDescent="0.35">
      <c r="B13" s="194"/>
      <c r="C13" s="195"/>
      <c r="D13" s="195"/>
      <c r="E13" s="195"/>
      <c r="F13" s="195"/>
      <c r="G13" s="195"/>
      <c r="H13" s="195"/>
      <c r="I13" s="196"/>
      <c r="J13" s="175" t="s">
        <v>226</v>
      </c>
      <c r="K13" s="176"/>
      <c r="L13" s="176"/>
      <c r="M13" s="176"/>
      <c r="N13" s="176"/>
      <c r="O13" s="176"/>
      <c r="P13" s="176"/>
      <c r="Q13" s="176"/>
      <c r="R13" s="176"/>
      <c r="S13" s="176"/>
      <c r="T13" s="176"/>
      <c r="U13" s="176"/>
      <c r="V13" s="176"/>
      <c r="W13" s="176"/>
      <c r="X13" s="176"/>
      <c r="Y13" s="176"/>
      <c r="Z13" s="176"/>
      <c r="AA13" s="176"/>
      <c r="AB13" s="176"/>
      <c r="AC13" s="176"/>
      <c r="AD13" s="176"/>
      <c r="AE13" s="177"/>
    </row>
    <row r="14" spans="2:31" x14ac:dyDescent="0.35">
      <c r="B14" s="194"/>
      <c r="C14" s="195"/>
      <c r="D14" s="195"/>
      <c r="E14" s="195"/>
      <c r="F14" s="195"/>
      <c r="G14" s="195"/>
      <c r="H14" s="195"/>
      <c r="I14" s="196"/>
      <c r="J14" s="6" t="s">
        <v>16</v>
      </c>
      <c r="K14" s="149" t="s">
        <v>227</v>
      </c>
      <c r="L14" s="149"/>
      <c r="M14" s="149"/>
      <c r="N14" s="149"/>
      <c r="O14" s="149"/>
      <c r="P14" s="149"/>
      <c r="Q14" s="149"/>
      <c r="R14" s="149"/>
      <c r="S14" s="149"/>
      <c r="T14" s="149"/>
      <c r="U14" s="149"/>
      <c r="V14" s="149"/>
      <c r="W14" s="149"/>
      <c r="X14" s="149"/>
      <c r="Y14" s="149"/>
      <c r="Z14" s="149"/>
      <c r="AA14" s="149"/>
      <c r="AB14" s="149"/>
      <c r="AC14" s="149"/>
      <c r="AD14" s="149"/>
      <c r="AE14" s="178"/>
    </row>
    <row r="15" spans="2:31" x14ac:dyDescent="0.35">
      <c r="B15" s="194"/>
      <c r="C15" s="195"/>
      <c r="D15" s="195"/>
      <c r="E15" s="195"/>
      <c r="F15" s="195"/>
      <c r="G15" s="195"/>
      <c r="H15" s="195"/>
      <c r="I15" s="196"/>
      <c r="J15" s="6" t="s">
        <v>16</v>
      </c>
      <c r="K15" s="149" t="s">
        <v>228</v>
      </c>
      <c r="L15" s="149"/>
      <c r="M15" s="149"/>
      <c r="N15" s="149"/>
      <c r="O15" s="149"/>
      <c r="P15" s="149"/>
      <c r="Q15" s="149"/>
      <c r="R15" s="149"/>
      <c r="S15" s="149"/>
      <c r="T15" s="149"/>
      <c r="U15" s="149"/>
      <c r="V15" s="149"/>
      <c r="W15" s="149"/>
      <c r="X15" s="149"/>
      <c r="Y15" s="149"/>
      <c r="Z15" s="149"/>
      <c r="AA15" s="149"/>
      <c r="AB15" s="149"/>
      <c r="AC15" s="149"/>
      <c r="AD15" s="149"/>
      <c r="AE15" s="178"/>
    </row>
    <row r="16" spans="2:31" x14ac:dyDescent="0.35">
      <c r="B16" s="194"/>
      <c r="C16" s="195"/>
      <c r="D16" s="195"/>
      <c r="E16" s="195"/>
      <c r="F16" s="195"/>
      <c r="G16" s="195"/>
      <c r="H16" s="195"/>
      <c r="I16" s="196"/>
      <c r="J16" s="6" t="s">
        <v>16</v>
      </c>
      <c r="K16" s="149" t="s">
        <v>229</v>
      </c>
      <c r="L16" s="149"/>
      <c r="M16" s="149"/>
      <c r="N16" s="149"/>
      <c r="O16" s="149"/>
      <c r="P16" s="149"/>
      <c r="Q16" s="149"/>
      <c r="R16" s="149"/>
      <c r="S16" s="149"/>
      <c r="T16" s="149"/>
      <c r="U16" s="149"/>
      <c r="V16" s="149"/>
      <c r="W16" s="149"/>
      <c r="X16" s="149"/>
      <c r="Y16" s="149"/>
      <c r="Z16" s="149"/>
      <c r="AA16" s="149"/>
      <c r="AB16" s="149"/>
      <c r="AC16" s="149"/>
      <c r="AD16" s="149"/>
      <c r="AE16" s="178"/>
    </row>
    <row r="17" spans="2:31" x14ac:dyDescent="0.35">
      <c r="B17" s="194"/>
      <c r="C17" s="195"/>
      <c r="D17" s="195"/>
      <c r="E17" s="195"/>
      <c r="F17" s="195"/>
      <c r="G17" s="195"/>
      <c r="H17" s="195"/>
      <c r="I17" s="196"/>
      <c r="J17" s="6" t="s">
        <v>16</v>
      </c>
      <c r="K17" s="149" t="s">
        <v>230</v>
      </c>
      <c r="L17" s="149"/>
      <c r="M17" s="149"/>
      <c r="N17" s="149"/>
      <c r="O17" s="149"/>
      <c r="P17" s="149"/>
      <c r="Q17" s="149"/>
      <c r="R17" s="149"/>
      <c r="S17" s="149"/>
      <c r="T17" s="149"/>
      <c r="U17" s="149"/>
      <c r="V17" s="149"/>
      <c r="W17" s="149"/>
      <c r="X17" s="149"/>
      <c r="Y17" s="149"/>
      <c r="Z17" s="149"/>
      <c r="AA17" s="149"/>
      <c r="AB17" s="149"/>
      <c r="AC17" s="149"/>
      <c r="AD17" s="149"/>
      <c r="AE17" s="178"/>
    </row>
    <row r="18" spans="2:31" ht="14.4" customHeight="1" x14ac:dyDescent="0.35">
      <c r="B18" s="236" t="s">
        <v>166</v>
      </c>
      <c r="C18" s="237"/>
      <c r="D18" s="237"/>
      <c r="E18" s="237"/>
      <c r="F18" s="237"/>
      <c r="G18" s="237"/>
      <c r="H18" s="237"/>
      <c r="I18" s="238"/>
      <c r="J18" s="13" t="s">
        <v>16</v>
      </c>
      <c r="K18" s="162" t="s">
        <v>231</v>
      </c>
      <c r="L18" s="162"/>
      <c r="M18" s="162"/>
      <c r="N18" s="162"/>
      <c r="O18" s="162"/>
      <c r="P18" s="162"/>
      <c r="Q18" s="162"/>
      <c r="R18" s="162"/>
      <c r="S18" s="162"/>
      <c r="T18" s="162"/>
      <c r="U18" s="162"/>
      <c r="V18" s="162"/>
      <c r="W18" s="162"/>
      <c r="X18" s="162"/>
      <c r="Y18" s="162"/>
      <c r="Z18" s="162"/>
      <c r="AA18" s="162"/>
      <c r="AB18" s="162"/>
      <c r="AC18" s="162"/>
      <c r="AD18" s="162"/>
      <c r="AE18" s="163"/>
    </row>
    <row r="19" spans="2:31" ht="14.4" customHeight="1" x14ac:dyDescent="0.35">
      <c r="B19" s="239"/>
      <c r="C19" s="240"/>
      <c r="D19" s="240"/>
      <c r="E19" s="240"/>
      <c r="F19" s="240"/>
      <c r="G19" s="240"/>
      <c r="H19" s="240"/>
      <c r="I19" s="241"/>
      <c r="J19" s="6"/>
      <c r="K19" s="165"/>
      <c r="L19" s="165"/>
      <c r="M19" s="165"/>
      <c r="N19" s="165"/>
      <c r="O19" s="165"/>
      <c r="P19" s="165"/>
      <c r="Q19" s="165"/>
      <c r="R19" s="165"/>
      <c r="S19" s="165"/>
      <c r="T19" s="165"/>
      <c r="U19" s="165"/>
      <c r="V19" s="165"/>
      <c r="W19" s="165"/>
      <c r="X19" s="165"/>
      <c r="Y19" s="165"/>
      <c r="Z19" s="165"/>
      <c r="AA19" s="165"/>
      <c r="AB19" s="165"/>
      <c r="AC19" s="165"/>
      <c r="AD19" s="165"/>
      <c r="AE19" s="166"/>
    </row>
    <row r="20" spans="2:31" x14ac:dyDescent="0.35">
      <c r="B20" s="239"/>
      <c r="C20" s="240"/>
      <c r="D20" s="240"/>
      <c r="E20" s="240"/>
      <c r="F20" s="240"/>
      <c r="G20" s="240"/>
      <c r="H20" s="240"/>
      <c r="I20" s="241"/>
      <c r="J20" s="9"/>
      <c r="K20" s="165"/>
      <c r="L20" s="165"/>
      <c r="M20" s="165"/>
      <c r="N20" s="165"/>
      <c r="O20" s="165"/>
      <c r="P20" s="165"/>
      <c r="Q20" s="165"/>
      <c r="R20" s="165"/>
      <c r="S20" s="165"/>
      <c r="T20" s="165"/>
      <c r="U20" s="165"/>
      <c r="V20" s="165"/>
      <c r="W20" s="165"/>
      <c r="X20" s="165"/>
      <c r="Y20" s="165"/>
      <c r="Z20" s="165"/>
      <c r="AA20" s="165"/>
      <c r="AB20" s="165"/>
      <c r="AC20" s="165"/>
      <c r="AD20" s="165"/>
      <c r="AE20" s="166"/>
    </row>
    <row r="21" spans="2:31" x14ac:dyDescent="0.35">
      <c r="B21" s="239"/>
      <c r="C21" s="240"/>
      <c r="D21" s="240"/>
      <c r="E21" s="240"/>
      <c r="F21" s="240"/>
      <c r="G21" s="240"/>
      <c r="H21" s="240"/>
      <c r="I21" s="241"/>
      <c r="J21" s="9"/>
      <c r="K21" s="165"/>
      <c r="L21" s="165"/>
      <c r="M21" s="165"/>
      <c r="N21" s="165"/>
      <c r="O21" s="165"/>
      <c r="P21" s="165"/>
      <c r="Q21" s="165"/>
      <c r="R21" s="165"/>
      <c r="S21" s="165"/>
      <c r="T21" s="165"/>
      <c r="U21" s="165"/>
      <c r="V21" s="165"/>
      <c r="W21" s="165"/>
      <c r="X21" s="165"/>
      <c r="Y21" s="165"/>
      <c r="Z21" s="165"/>
      <c r="AA21" s="165"/>
      <c r="AB21" s="165"/>
      <c r="AC21" s="165"/>
      <c r="AD21" s="165"/>
      <c r="AE21" s="166"/>
    </row>
    <row r="22" spans="2:31" ht="14.4" customHeight="1" x14ac:dyDescent="0.35">
      <c r="B22" s="239"/>
      <c r="C22" s="240"/>
      <c r="D22" s="240"/>
      <c r="E22" s="240"/>
      <c r="F22" s="240"/>
      <c r="G22" s="240"/>
      <c r="H22" s="240"/>
      <c r="I22" s="241"/>
      <c r="J22" s="6" t="s">
        <v>16</v>
      </c>
      <c r="K22" s="165" t="s">
        <v>232</v>
      </c>
      <c r="L22" s="165"/>
      <c r="M22" s="165"/>
      <c r="N22" s="165"/>
      <c r="O22" s="165"/>
      <c r="P22" s="165"/>
      <c r="Q22" s="165"/>
      <c r="R22" s="165"/>
      <c r="S22" s="165"/>
      <c r="T22" s="165"/>
      <c r="U22" s="165"/>
      <c r="V22" s="165"/>
      <c r="W22" s="165"/>
      <c r="X22" s="165"/>
      <c r="Y22" s="165"/>
      <c r="Z22" s="165"/>
      <c r="AA22" s="165"/>
      <c r="AB22" s="165"/>
      <c r="AC22" s="165"/>
      <c r="AD22" s="165"/>
      <c r="AE22" s="166"/>
    </row>
    <row r="23" spans="2:31" x14ac:dyDescent="0.35">
      <c r="B23" s="239"/>
      <c r="C23" s="240"/>
      <c r="D23" s="240"/>
      <c r="E23" s="240"/>
      <c r="F23" s="240"/>
      <c r="G23" s="240"/>
      <c r="H23" s="240"/>
      <c r="I23" s="241"/>
      <c r="J23" s="9"/>
      <c r="K23" s="165"/>
      <c r="L23" s="165"/>
      <c r="M23" s="165"/>
      <c r="N23" s="165"/>
      <c r="O23" s="165"/>
      <c r="P23" s="165"/>
      <c r="Q23" s="165"/>
      <c r="R23" s="165"/>
      <c r="S23" s="165"/>
      <c r="T23" s="165"/>
      <c r="U23" s="165"/>
      <c r="V23" s="165"/>
      <c r="W23" s="165"/>
      <c r="X23" s="165"/>
      <c r="Y23" s="165"/>
      <c r="Z23" s="165"/>
      <c r="AA23" s="165"/>
      <c r="AB23" s="165"/>
      <c r="AC23" s="165"/>
      <c r="AD23" s="165"/>
      <c r="AE23" s="166"/>
    </row>
    <row r="24" spans="2:31" x14ac:dyDescent="0.35">
      <c r="B24" s="239"/>
      <c r="C24" s="240"/>
      <c r="D24" s="240"/>
      <c r="E24" s="240"/>
      <c r="F24" s="240"/>
      <c r="G24" s="240"/>
      <c r="H24" s="240"/>
      <c r="I24" s="241"/>
      <c r="J24" s="9"/>
      <c r="K24" s="165"/>
      <c r="L24" s="165"/>
      <c r="M24" s="165"/>
      <c r="N24" s="165"/>
      <c r="O24" s="165"/>
      <c r="P24" s="165"/>
      <c r="Q24" s="165"/>
      <c r="R24" s="165"/>
      <c r="S24" s="165"/>
      <c r="T24" s="165"/>
      <c r="U24" s="165"/>
      <c r="V24" s="165"/>
      <c r="W24" s="165"/>
      <c r="X24" s="165"/>
      <c r="Y24" s="165"/>
      <c r="Z24" s="165"/>
      <c r="AA24" s="165"/>
      <c r="AB24" s="165"/>
      <c r="AC24" s="165"/>
      <c r="AD24" s="165"/>
      <c r="AE24" s="166"/>
    </row>
    <row r="25" spans="2:31" x14ac:dyDescent="0.35">
      <c r="B25" s="242"/>
      <c r="C25" s="243"/>
      <c r="D25" s="243"/>
      <c r="E25" s="243"/>
      <c r="F25" s="243"/>
      <c r="G25" s="243"/>
      <c r="H25" s="243"/>
      <c r="I25" s="244"/>
      <c r="J25" s="10"/>
      <c r="K25" s="168"/>
      <c r="L25" s="168"/>
      <c r="M25" s="168"/>
      <c r="N25" s="168"/>
      <c r="O25" s="168"/>
      <c r="P25" s="168"/>
      <c r="Q25" s="168"/>
      <c r="R25" s="168"/>
      <c r="S25" s="168"/>
      <c r="T25" s="168"/>
      <c r="U25" s="168"/>
      <c r="V25" s="168"/>
      <c r="W25" s="168"/>
      <c r="X25" s="168"/>
      <c r="Y25" s="168"/>
      <c r="Z25" s="168"/>
      <c r="AA25" s="168"/>
      <c r="AB25" s="168"/>
      <c r="AC25" s="168"/>
      <c r="AD25" s="168"/>
      <c r="AE25" s="169"/>
    </row>
    <row r="26" spans="2:31" ht="14.4" customHeight="1" x14ac:dyDescent="0.35">
      <c r="B26" s="14" t="s">
        <v>177</v>
      </c>
      <c r="C26" s="202" t="s">
        <v>294</v>
      </c>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row>
    <row r="27" spans="2:31" x14ac:dyDescent="0.35">
      <c r="B27" s="1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row>
    <row r="28" spans="2:31" x14ac:dyDescent="0.35">
      <c r="B28" s="1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row>
    <row r="29" spans="2:31" x14ac:dyDescent="0.35">
      <c r="B29" s="12"/>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row>
    <row r="30" spans="2:31" ht="14.4" customHeight="1" x14ac:dyDescent="0.35">
      <c r="B30" s="12"/>
      <c r="C30" s="203" t="s">
        <v>233</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row>
    <row r="31" spans="2:31" x14ac:dyDescent="0.35">
      <c r="B31" s="1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row>
    <row r="32" spans="2:31" x14ac:dyDescent="0.35">
      <c r="B32" s="12"/>
      <c r="C32" s="165" t="s">
        <v>234</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row>
    <row r="34" spans="2:31" x14ac:dyDescent="0.35">
      <c r="B34" s="170" t="s">
        <v>238</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row>
    <row r="35" spans="2:31" x14ac:dyDescent="0.35">
      <c r="B35" s="153" t="s">
        <v>144</v>
      </c>
      <c r="C35" s="153"/>
      <c r="D35" s="153"/>
      <c r="E35" s="153"/>
      <c r="F35" s="153"/>
      <c r="G35" s="153"/>
      <c r="H35" s="153"/>
      <c r="I35" s="153"/>
      <c r="J35" s="153"/>
      <c r="K35" s="153"/>
      <c r="L35" s="153"/>
      <c r="M35" s="153"/>
      <c r="N35" s="153"/>
      <c r="O35" s="153"/>
      <c r="P35" s="153"/>
      <c r="Q35" s="153" t="s">
        <v>145</v>
      </c>
      <c r="R35" s="153"/>
      <c r="S35" s="153"/>
      <c r="T35" s="153"/>
      <c r="U35" s="153"/>
      <c r="V35" s="153"/>
      <c r="W35" s="153"/>
      <c r="X35" s="153"/>
      <c r="Y35" s="153"/>
      <c r="Z35" s="153"/>
      <c r="AA35" s="153"/>
      <c r="AB35" s="153"/>
      <c r="AC35" s="153"/>
      <c r="AD35" s="153"/>
      <c r="AE35" s="153"/>
    </row>
    <row r="36" spans="2:31" x14ac:dyDescent="0.35">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row>
    <row r="37" spans="2:31" x14ac:dyDescent="0.35">
      <c r="B37" s="152">
        <v>-10000000000000</v>
      </c>
      <c r="C37" s="152"/>
      <c r="D37" s="152"/>
      <c r="E37" s="152"/>
      <c r="F37" s="152"/>
      <c r="G37" s="152"/>
      <c r="H37" s="152"/>
      <c r="I37" s="152"/>
      <c r="J37" s="152"/>
      <c r="K37" s="152"/>
      <c r="L37" s="152"/>
      <c r="M37" s="152"/>
      <c r="N37" s="152"/>
      <c r="O37" s="152"/>
      <c r="P37" s="152"/>
      <c r="Q37" s="151">
        <v>0</v>
      </c>
      <c r="R37" s="151"/>
      <c r="S37" s="151"/>
      <c r="T37" s="151"/>
      <c r="U37" s="151"/>
      <c r="V37" s="151"/>
      <c r="W37" s="151"/>
      <c r="X37" s="151"/>
      <c r="Y37" s="151"/>
      <c r="Z37" s="151"/>
      <c r="AA37" s="151"/>
      <c r="AB37" s="151"/>
      <c r="AC37" s="151"/>
      <c r="AD37" s="151"/>
      <c r="AE37" s="151"/>
    </row>
    <row r="38" spans="2:31" x14ac:dyDescent="0.35">
      <c r="B38" s="152">
        <v>1</v>
      </c>
      <c r="C38" s="152"/>
      <c r="D38" s="152"/>
      <c r="E38" s="152"/>
      <c r="F38" s="152"/>
      <c r="G38" s="152"/>
      <c r="H38" s="152"/>
      <c r="I38" s="152"/>
      <c r="J38" s="152"/>
      <c r="K38" s="152"/>
      <c r="L38" s="152"/>
      <c r="M38" s="152"/>
      <c r="N38" s="152"/>
      <c r="O38" s="152"/>
      <c r="P38" s="152"/>
      <c r="Q38" s="151">
        <f>0.4*'Formula B'!AB56</f>
        <v>0</v>
      </c>
      <c r="R38" s="151"/>
      <c r="S38" s="151"/>
      <c r="T38" s="151"/>
      <c r="U38" s="151"/>
      <c r="V38" s="151"/>
      <c r="W38" s="151"/>
      <c r="X38" s="151"/>
      <c r="Y38" s="151"/>
      <c r="Z38" s="151"/>
      <c r="AA38" s="151"/>
      <c r="AB38" s="151"/>
      <c r="AC38" s="151"/>
      <c r="AD38" s="151"/>
      <c r="AE38" s="151"/>
    </row>
    <row r="39" spans="2:31" x14ac:dyDescent="0.35">
      <c r="B39" s="152">
        <v>165001</v>
      </c>
      <c r="C39" s="152"/>
      <c r="D39" s="152"/>
      <c r="E39" s="152"/>
      <c r="F39" s="152"/>
      <c r="G39" s="152"/>
      <c r="H39" s="152"/>
      <c r="I39" s="152"/>
      <c r="J39" s="152"/>
      <c r="K39" s="152"/>
      <c r="L39" s="152"/>
      <c r="M39" s="152"/>
      <c r="N39" s="152"/>
      <c r="O39" s="152"/>
      <c r="P39" s="152"/>
      <c r="Q39" s="151">
        <f>66000+(('Formula B'!AB56-165000)*0.5)</f>
        <v>-16500</v>
      </c>
      <c r="R39" s="151"/>
      <c r="S39" s="151"/>
      <c r="T39" s="151"/>
      <c r="U39" s="151"/>
      <c r="V39" s="151"/>
      <c r="W39" s="151"/>
      <c r="X39" s="151"/>
      <c r="Y39" s="151"/>
      <c r="Z39" s="151"/>
      <c r="AA39" s="151"/>
      <c r="AB39" s="151"/>
      <c r="AC39" s="151"/>
      <c r="AD39" s="151"/>
      <c r="AE39" s="151"/>
    </row>
    <row r="40" spans="2:31" x14ac:dyDescent="0.35">
      <c r="B40" s="152">
        <v>490001</v>
      </c>
      <c r="C40" s="152"/>
      <c r="D40" s="152"/>
      <c r="E40" s="152"/>
      <c r="F40" s="152"/>
      <c r="G40" s="152"/>
      <c r="H40" s="152"/>
      <c r="I40" s="152"/>
      <c r="J40" s="152"/>
      <c r="K40" s="152"/>
      <c r="L40" s="152"/>
      <c r="M40" s="152"/>
      <c r="N40" s="152"/>
      <c r="O40" s="152"/>
      <c r="P40" s="152"/>
      <c r="Q40" s="151">
        <f>228500+(('Formula B'!AB56-490000)*0.6)</f>
        <v>-65500</v>
      </c>
      <c r="R40" s="151"/>
      <c r="S40" s="151"/>
      <c r="T40" s="151"/>
      <c r="U40" s="151"/>
      <c r="V40" s="151"/>
      <c r="W40" s="151"/>
      <c r="X40" s="151"/>
      <c r="Y40" s="151"/>
      <c r="Z40" s="151"/>
      <c r="AA40" s="151"/>
      <c r="AB40" s="151"/>
      <c r="AC40" s="151"/>
      <c r="AD40" s="151"/>
      <c r="AE40" s="151"/>
    </row>
    <row r="41" spans="2:31" x14ac:dyDescent="0.35">
      <c r="B41" s="152">
        <v>820001</v>
      </c>
      <c r="C41" s="152"/>
      <c r="D41" s="152"/>
      <c r="E41" s="152"/>
      <c r="F41" s="152"/>
      <c r="G41" s="152"/>
      <c r="H41" s="152"/>
      <c r="I41" s="152"/>
      <c r="J41" s="152"/>
      <c r="K41" s="152"/>
      <c r="L41" s="152"/>
      <c r="M41" s="152"/>
      <c r="N41" s="152"/>
      <c r="O41" s="152"/>
      <c r="P41" s="152"/>
      <c r="Q41" s="151">
        <f>426500+('Formula B'!AB56-820000)</f>
        <v>-393500</v>
      </c>
      <c r="R41" s="151"/>
      <c r="S41" s="151"/>
      <c r="T41" s="151"/>
      <c r="U41" s="151"/>
      <c r="V41" s="151"/>
      <c r="W41" s="151"/>
      <c r="X41" s="151"/>
      <c r="Y41" s="151"/>
      <c r="Z41" s="151"/>
      <c r="AA41" s="151"/>
      <c r="AB41" s="151"/>
      <c r="AC41" s="151"/>
      <c r="AD41" s="151"/>
      <c r="AE41" s="151"/>
    </row>
    <row r="43" spans="2:31" x14ac:dyDescent="0.35">
      <c r="B43" s="170" t="s">
        <v>295</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row>
    <row r="44" spans="2:31" ht="14.4" customHeight="1" x14ac:dyDescent="0.35">
      <c r="B44" s="171" t="s">
        <v>235</v>
      </c>
      <c r="C44" s="171"/>
      <c r="D44" s="171"/>
      <c r="E44" s="171"/>
      <c r="F44" s="172"/>
      <c r="G44" s="171" t="s">
        <v>236</v>
      </c>
      <c r="H44" s="171"/>
      <c r="I44" s="171"/>
      <c r="J44" s="171"/>
      <c r="K44" s="172"/>
      <c r="L44" s="171" t="s">
        <v>237</v>
      </c>
      <c r="M44" s="171"/>
      <c r="N44" s="171"/>
      <c r="O44" s="171"/>
      <c r="P44" s="172"/>
      <c r="Q44" s="171" t="s">
        <v>235</v>
      </c>
      <c r="R44" s="171"/>
      <c r="S44" s="171"/>
      <c r="T44" s="171"/>
      <c r="U44" s="172"/>
      <c r="V44" s="171" t="s">
        <v>236</v>
      </c>
      <c r="W44" s="171"/>
      <c r="X44" s="171"/>
      <c r="Y44" s="171"/>
      <c r="Z44" s="172"/>
      <c r="AA44" s="171" t="s">
        <v>237</v>
      </c>
      <c r="AB44" s="171"/>
      <c r="AC44" s="171"/>
      <c r="AD44" s="171"/>
      <c r="AE44" s="172"/>
    </row>
    <row r="45" spans="2:31" ht="14.4" customHeight="1" x14ac:dyDescent="0.35">
      <c r="B45" s="173"/>
      <c r="C45" s="173"/>
      <c r="D45" s="173"/>
      <c r="E45" s="173"/>
      <c r="F45" s="174"/>
      <c r="G45" s="173"/>
      <c r="H45" s="173"/>
      <c r="I45" s="173"/>
      <c r="J45" s="173"/>
      <c r="K45" s="174"/>
      <c r="L45" s="173"/>
      <c r="M45" s="173"/>
      <c r="N45" s="173"/>
      <c r="O45" s="173"/>
      <c r="P45" s="174"/>
      <c r="Q45" s="173"/>
      <c r="R45" s="173"/>
      <c r="S45" s="173"/>
      <c r="T45" s="173"/>
      <c r="U45" s="174"/>
      <c r="V45" s="173"/>
      <c r="W45" s="173"/>
      <c r="X45" s="173"/>
      <c r="Y45" s="173"/>
      <c r="Z45" s="174"/>
      <c r="AA45" s="173"/>
      <c r="AB45" s="173"/>
      <c r="AC45" s="173"/>
      <c r="AD45" s="173"/>
      <c r="AE45" s="174"/>
    </row>
    <row r="46" spans="2:31" ht="14.4" customHeight="1" x14ac:dyDescent="0.35">
      <c r="B46" s="173"/>
      <c r="C46" s="173"/>
      <c r="D46" s="173"/>
      <c r="E46" s="173"/>
      <c r="F46" s="174"/>
      <c r="G46" s="173"/>
      <c r="H46" s="173"/>
      <c r="I46" s="173"/>
      <c r="J46" s="173"/>
      <c r="K46" s="174"/>
      <c r="L46" s="173"/>
      <c r="M46" s="173"/>
      <c r="N46" s="173"/>
      <c r="O46" s="173"/>
      <c r="P46" s="174"/>
      <c r="Q46" s="173"/>
      <c r="R46" s="173"/>
      <c r="S46" s="173"/>
      <c r="T46" s="173"/>
      <c r="U46" s="174"/>
      <c r="V46" s="173"/>
      <c r="W46" s="173"/>
      <c r="X46" s="173"/>
      <c r="Y46" s="173"/>
      <c r="Z46" s="174"/>
      <c r="AA46" s="173"/>
      <c r="AB46" s="173"/>
      <c r="AC46" s="173"/>
      <c r="AD46" s="173"/>
      <c r="AE46" s="174"/>
    </row>
    <row r="47" spans="2:31" ht="14.4" customHeight="1" x14ac:dyDescent="0.35">
      <c r="B47" s="173"/>
      <c r="C47" s="173"/>
      <c r="D47" s="173"/>
      <c r="E47" s="173"/>
      <c r="F47" s="174"/>
      <c r="G47" s="173"/>
      <c r="H47" s="173"/>
      <c r="I47" s="173"/>
      <c r="J47" s="173"/>
      <c r="K47" s="174"/>
      <c r="L47" s="173"/>
      <c r="M47" s="173"/>
      <c r="N47" s="173"/>
      <c r="O47" s="173"/>
      <c r="P47" s="174"/>
      <c r="Q47" s="173"/>
      <c r="R47" s="173"/>
      <c r="S47" s="173"/>
      <c r="T47" s="173"/>
      <c r="U47" s="174"/>
      <c r="V47" s="173"/>
      <c r="W47" s="173"/>
      <c r="X47" s="173"/>
      <c r="Y47" s="173"/>
      <c r="Z47" s="174"/>
      <c r="AA47" s="173"/>
      <c r="AB47" s="173"/>
      <c r="AC47" s="173"/>
      <c r="AD47" s="173"/>
      <c r="AE47" s="174"/>
    </row>
    <row r="48" spans="2:31" x14ac:dyDescent="0.35">
      <c r="B48" s="157" t="s">
        <v>176</v>
      </c>
      <c r="C48" s="157"/>
      <c r="D48" s="157"/>
      <c r="E48" s="157"/>
      <c r="F48" s="157"/>
      <c r="G48" s="154">
        <v>0</v>
      </c>
      <c r="H48" s="154"/>
      <c r="I48" s="154"/>
      <c r="J48" s="154"/>
      <c r="K48" s="154"/>
      <c r="L48" s="154">
        <v>0</v>
      </c>
      <c r="M48" s="154"/>
      <c r="N48" s="154"/>
      <c r="O48" s="154"/>
      <c r="P48" s="154"/>
      <c r="Q48" s="157">
        <v>46</v>
      </c>
      <c r="R48" s="157"/>
      <c r="S48" s="157"/>
      <c r="T48" s="157"/>
      <c r="U48" s="157"/>
      <c r="V48" s="154">
        <v>0</v>
      </c>
      <c r="W48" s="154"/>
      <c r="X48" s="154"/>
      <c r="Y48" s="154"/>
      <c r="Z48" s="154"/>
      <c r="AA48" s="154">
        <v>0</v>
      </c>
      <c r="AB48" s="154"/>
      <c r="AC48" s="154"/>
      <c r="AD48" s="154"/>
      <c r="AE48" s="154"/>
    </row>
    <row r="49" spans="2:31" x14ac:dyDescent="0.35">
      <c r="B49" s="157">
        <v>26</v>
      </c>
      <c r="C49" s="157"/>
      <c r="D49" s="157"/>
      <c r="E49" s="157"/>
      <c r="F49" s="157"/>
      <c r="G49" s="154">
        <v>0</v>
      </c>
      <c r="H49" s="154"/>
      <c r="I49" s="154"/>
      <c r="J49" s="154"/>
      <c r="K49" s="154"/>
      <c r="L49" s="154">
        <v>0</v>
      </c>
      <c r="M49" s="154"/>
      <c r="N49" s="154"/>
      <c r="O49" s="154"/>
      <c r="P49" s="154"/>
      <c r="Q49" s="157">
        <v>47</v>
      </c>
      <c r="R49" s="157"/>
      <c r="S49" s="157"/>
      <c r="T49" s="157"/>
      <c r="U49" s="157"/>
      <c r="V49" s="154">
        <v>0</v>
      </c>
      <c r="W49" s="154"/>
      <c r="X49" s="154"/>
      <c r="Y49" s="154"/>
      <c r="Z49" s="154"/>
      <c r="AA49" s="154">
        <v>0</v>
      </c>
      <c r="AB49" s="154"/>
      <c r="AC49" s="154"/>
      <c r="AD49" s="154"/>
      <c r="AE49" s="154"/>
    </row>
    <row r="50" spans="2:31" x14ac:dyDescent="0.35">
      <c r="B50" s="157">
        <v>27</v>
      </c>
      <c r="C50" s="157"/>
      <c r="D50" s="157"/>
      <c r="E50" s="157"/>
      <c r="F50" s="157"/>
      <c r="G50" s="154">
        <v>0</v>
      </c>
      <c r="H50" s="154"/>
      <c r="I50" s="154"/>
      <c r="J50" s="154"/>
      <c r="K50" s="154"/>
      <c r="L50" s="154">
        <v>0</v>
      </c>
      <c r="M50" s="154"/>
      <c r="N50" s="154"/>
      <c r="O50" s="154"/>
      <c r="P50" s="154"/>
      <c r="Q50" s="157">
        <v>48</v>
      </c>
      <c r="R50" s="157"/>
      <c r="S50" s="157"/>
      <c r="T50" s="157"/>
      <c r="U50" s="157"/>
      <c r="V50" s="154">
        <v>0</v>
      </c>
      <c r="W50" s="154"/>
      <c r="X50" s="154"/>
      <c r="Y50" s="154"/>
      <c r="Z50" s="154"/>
      <c r="AA50" s="154">
        <v>0</v>
      </c>
      <c r="AB50" s="154"/>
      <c r="AC50" s="154"/>
      <c r="AD50" s="154"/>
      <c r="AE50" s="154"/>
    </row>
    <row r="51" spans="2:31" x14ac:dyDescent="0.35">
      <c r="B51" s="157">
        <v>28</v>
      </c>
      <c r="C51" s="157"/>
      <c r="D51" s="157"/>
      <c r="E51" s="157"/>
      <c r="F51" s="157"/>
      <c r="G51" s="154">
        <v>0</v>
      </c>
      <c r="H51" s="154"/>
      <c r="I51" s="154"/>
      <c r="J51" s="154"/>
      <c r="K51" s="154"/>
      <c r="L51" s="154">
        <v>0</v>
      </c>
      <c r="M51" s="154"/>
      <c r="N51" s="154"/>
      <c r="O51" s="154"/>
      <c r="P51" s="154"/>
      <c r="Q51" s="157">
        <v>49</v>
      </c>
      <c r="R51" s="157"/>
      <c r="S51" s="157"/>
      <c r="T51" s="157"/>
      <c r="U51" s="157"/>
      <c r="V51" s="154">
        <v>0</v>
      </c>
      <c r="W51" s="154"/>
      <c r="X51" s="154"/>
      <c r="Y51" s="154"/>
      <c r="Z51" s="154"/>
      <c r="AA51" s="154">
        <v>0</v>
      </c>
      <c r="AB51" s="154"/>
      <c r="AC51" s="154"/>
      <c r="AD51" s="154"/>
      <c r="AE51" s="154"/>
    </row>
    <row r="52" spans="2:31" x14ac:dyDescent="0.35">
      <c r="B52" s="157">
        <v>29</v>
      </c>
      <c r="C52" s="157"/>
      <c r="D52" s="157"/>
      <c r="E52" s="157"/>
      <c r="F52" s="157"/>
      <c r="G52" s="154">
        <v>0</v>
      </c>
      <c r="H52" s="154"/>
      <c r="I52" s="154"/>
      <c r="J52" s="154"/>
      <c r="K52" s="154"/>
      <c r="L52" s="154">
        <v>0</v>
      </c>
      <c r="M52" s="154"/>
      <c r="N52" s="154"/>
      <c r="O52" s="154"/>
      <c r="P52" s="154"/>
      <c r="Q52" s="157">
        <v>50</v>
      </c>
      <c r="R52" s="157"/>
      <c r="S52" s="157"/>
      <c r="T52" s="157"/>
      <c r="U52" s="157"/>
      <c r="V52" s="154">
        <v>0</v>
      </c>
      <c r="W52" s="154"/>
      <c r="X52" s="154"/>
      <c r="Y52" s="154"/>
      <c r="Z52" s="154"/>
      <c r="AA52" s="154">
        <v>0</v>
      </c>
      <c r="AB52" s="154"/>
      <c r="AC52" s="154"/>
      <c r="AD52" s="154"/>
      <c r="AE52" s="154"/>
    </row>
    <row r="53" spans="2:31" x14ac:dyDescent="0.35">
      <c r="B53" s="157">
        <v>30</v>
      </c>
      <c r="C53" s="157"/>
      <c r="D53" s="157"/>
      <c r="E53" s="157"/>
      <c r="F53" s="157"/>
      <c r="G53" s="154">
        <v>0</v>
      </c>
      <c r="H53" s="154"/>
      <c r="I53" s="154"/>
      <c r="J53" s="154"/>
      <c r="K53" s="154"/>
      <c r="L53" s="154">
        <v>0</v>
      </c>
      <c r="M53" s="154"/>
      <c r="N53" s="154"/>
      <c r="O53" s="154"/>
      <c r="P53" s="154"/>
      <c r="Q53" s="157">
        <v>51</v>
      </c>
      <c r="R53" s="157"/>
      <c r="S53" s="157"/>
      <c r="T53" s="157"/>
      <c r="U53" s="157"/>
      <c r="V53" s="154">
        <v>0</v>
      </c>
      <c r="W53" s="154"/>
      <c r="X53" s="154"/>
      <c r="Y53" s="154"/>
      <c r="Z53" s="154"/>
      <c r="AA53" s="154">
        <v>0</v>
      </c>
      <c r="AB53" s="154"/>
      <c r="AC53" s="154"/>
      <c r="AD53" s="154"/>
      <c r="AE53" s="154"/>
    </row>
    <row r="54" spans="2:31" x14ac:dyDescent="0.35">
      <c r="B54" s="157">
        <v>31</v>
      </c>
      <c r="C54" s="157"/>
      <c r="D54" s="157"/>
      <c r="E54" s="157"/>
      <c r="F54" s="157"/>
      <c r="G54" s="154">
        <v>0</v>
      </c>
      <c r="H54" s="154"/>
      <c r="I54" s="154"/>
      <c r="J54" s="154"/>
      <c r="K54" s="154"/>
      <c r="L54" s="154">
        <v>0</v>
      </c>
      <c r="M54" s="154"/>
      <c r="N54" s="154"/>
      <c r="O54" s="154"/>
      <c r="P54" s="154"/>
      <c r="Q54" s="157">
        <v>52</v>
      </c>
      <c r="R54" s="157"/>
      <c r="S54" s="157"/>
      <c r="T54" s="157"/>
      <c r="U54" s="157"/>
      <c r="V54" s="154">
        <v>0</v>
      </c>
      <c r="W54" s="154"/>
      <c r="X54" s="154"/>
      <c r="Y54" s="154"/>
      <c r="Z54" s="154"/>
      <c r="AA54" s="154">
        <v>0</v>
      </c>
      <c r="AB54" s="154"/>
      <c r="AC54" s="154"/>
      <c r="AD54" s="154"/>
      <c r="AE54" s="154"/>
    </row>
    <row r="55" spans="2:31" x14ac:dyDescent="0.35">
      <c r="B55" s="157">
        <v>32</v>
      </c>
      <c r="C55" s="157"/>
      <c r="D55" s="157"/>
      <c r="E55" s="157"/>
      <c r="F55" s="157"/>
      <c r="G55" s="154">
        <v>0</v>
      </c>
      <c r="H55" s="154"/>
      <c r="I55" s="154"/>
      <c r="J55" s="154"/>
      <c r="K55" s="154"/>
      <c r="L55" s="154">
        <v>0</v>
      </c>
      <c r="M55" s="154"/>
      <c r="N55" s="154"/>
      <c r="O55" s="154"/>
      <c r="P55" s="154"/>
      <c r="Q55" s="157">
        <v>53</v>
      </c>
      <c r="R55" s="157"/>
      <c r="S55" s="157"/>
      <c r="T55" s="157"/>
      <c r="U55" s="157"/>
      <c r="V55" s="154">
        <v>0</v>
      </c>
      <c r="W55" s="154"/>
      <c r="X55" s="154"/>
      <c r="Y55" s="154"/>
      <c r="Z55" s="154"/>
      <c r="AA55" s="154">
        <v>0</v>
      </c>
      <c r="AB55" s="154"/>
      <c r="AC55" s="154"/>
      <c r="AD55" s="154"/>
      <c r="AE55" s="154"/>
    </row>
    <row r="56" spans="2:31" x14ac:dyDescent="0.35">
      <c r="B56" s="157">
        <v>33</v>
      </c>
      <c r="C56" s="157"/>
      <c r="D56" s="157"/>
      <c r="E56" s="157"/>
      <c r="F56" s="157"/>
      <c r="G56" s="154">
        <v>0</v>
      </c>
      <c r="H56" s="154"/>
      <c r="I56" s="154"/>
      <c r="J56" s="154"/>
      <c r="K56" s="154"/>
      <c r="L56" s="154">
        <v>0</v>
      </c>
      <c r="M56" s="154"/>
      <c r="N56" s="154"/>
      <c r="O56" s="154"/>
      <c r="P56" s="154"/>
      <c r="Q56" s="157">
        <v>54</v>
      </c>
      <c r="R56" s="157"/>
      <c r="S56" s="157"/>
      <c r="T56" s="157"/>
      <c r="U56" s="157"/>
      <c r="V56" s="154">
        <v>0</v>
      </c>
      <c r="W56" s="154"/>
      <c r="X56" s="154"/>
      <c r="Y56" s="154"/>
      <c r="Z56" s="154"/>
      <c r="AA56" s="154">
        <v>0</v>
      </c>
      <c r="AB56" s="154"/>
      <c r="AC56" s="154"/>
      <c r="AD56" s="154"/>
      <c r="AE56" s="154"/>
    </row>
    <row r="57" spans="2:31" x14ac:dyDescent="0.35">
      <c r="B57" s="157">
        <v>34</v>
      </c>
      <c r="C57" s="157"/>
      <c r="D57" s="157"/>
      <c r="E57" s="157"/>
      <c r="F57" s="157"/>
      <c r="G57" s="154">
        <v>0</v>
      </c>
      <c r="H57" s="154"/>
      <c r="I57" s="154"/>
      <c r="J57" s="154"/>
      <c r="K57" s="154"/>
      <c r="L57" s="154">
        <v>0</v>
      </c>
      <c r="M57" s="154"/>
      <c r="N57" s="154"/>
      <c r="O57" s="154"/>
      <c r="P57" s="154"/>
      <c r="Q57" s="157">
        <v>55</v>
      </c>
      <c r="R57" s="157"/>
      <c r="S57" s="157"/>
      <c r="T57" s="157"/>
      <c r="U57" s="157"/>
      <c r="V57" s="154">
        <v>0</v>
      </c>
      <c r="W57" s="154"/>
      <c r="X57" s="154"/>
      <c r="Y57" s="154"/>
      <c r="Z57" s="154"/>
      <c r="AA57" s="154">
        <v>0</v>
      </c>
      <c r="AB57" s="154"/>
      <c r="AC57" s="154"/>
      <c r="AD57" s="154"/>
      <c r="AE57" s="154"/>
    </row>
    <row r="58" spans="2:31" x14ac:dyDescent="0.35">
      <c r="B58" s="157">
        <v>35</v>
      </c>
      <c r="C58" s="157"/>
      <c r="D58" s="157"/>
      <c r="E58" s="157"/>
      <c r="F58" s="157"/>
      <c r="G58" s="154">
        <v>0</v>
      </c>
      <c r="H58" s="154"/>
      <c r="I58" s="154"/>
      <c r="J58" s="154"/>
      <c r="K58" s="154"/>
      <c r="L58" s="154">
        <v>0</v>
      </c>
      <c r="M58" s="154"/>
      <c r="N58" s="154"/>
      <c r="O58" s="154"/>
      <c r="P58" s="154"/>
      <c r="Q58" s="157">
        <v>56</v>
      </c>
      <c r="R58" s="157"/>
      <c r="S58" s="157"/>
      <c r="T58" s="157"/>
      <c r="U58" s="157"/>
      <c r="V58" s="154">
        <v>0</v>
      </c>
      <c r="W58" s="154"/>
      <c r="X58" s="154"/>
      <c r="Y58" s="154"/>
      <c r="Z58" s="154"/>
      <c r="AA58" s="154">
        <v>0</v>
      </c>
      <c r="AB58" s="154"/>
      <c r="AC58" s="154"/>
      <c r="AD58" s="154"/>
      <c r="AE58" s="154"/>
    </row>
    <row r="59" spans="2:31" x14ac:dyDescent="0.35">
      <c r="B59" s="157">
        <v>36</v>
      </c>
      <c r="C59" s="157"/>
      <c r="D59" s="157"/>
      <c r="E59" s="157"/>
      <c r="F59" s="157"/>
      <c r="G59" s="154">
        <v>0</v>
      </c>
      <c r="H59" s="154"/>
      <c r="I59" s="154"/>
      <c r="J59" s="154"/>
      <c r="K59" s="154"/>
      <c r="L59" s="154">
        <v>0</v>
      </c>
      <c r="M59" s="154"/>
      <c r="N59" s="154"/>
      <c r="O59" s="154"/>
      <c r="P59" s="154"/>
      <c r="Q59" s="157">
        <v>57</v>
      </c>
      <c r="R59" s="157"/>
      <c r="S59" s="157"/>
      <c r="T59" s="157"/>
      <c r="U59" s="157"/>
      <c r="V59" s="154">
        <v>0</v>
      </c>
      <c r="W59" s="154"/>
      <c r="X59" s="154"/>
      <c r="Y59" s="154"/>
      <c r="Z59" s="154"/>
      <c r="AA59" s="154">
        <v>0</v>
      </c>
      <c r="AB59" s="154"/>
      <c r="AC59" s="154"/>
      <c r="AD59" s="154"/>
      <c r="AE59" s="154"/>
    </row>
    <row r="60" spans="2:31" x14ac:dyDescent="0.35">
      <c r="B60" s="157">
        <v>37</v>
      </c>
      <c r="C60" s="157"/>
      <c r="D60" s="157"/>
      <c r="E60" s="157"/>
      <c r="F60" s="157"/>
      <c r="G60" s="154">
        <v>0</v>
      </c>
      <c r="H60" s="154"/>
      <c r="I60" s="154"/>
      <c r="J60" s="154"/>
      <c r="K60" s="154"/>
      <c r="L60" s="154">
        <v>0</v>
      </c>
      <c r="M60" s="154"/>
      <c r="N60" s="154"/>
      <c r="O60" s="154"/>
      <c r="P60" s="154"/>
      <c r="Q60" s="157">
        <v>58</v>
      </c>
      <c r="R60" s="157"/>
      <c r="S60" s="157"/>
      <c r="T60" s="157"/>
      <c r="U60" s="157"/>
      <c r="V60" s="154">
        <v>0</v>
      </c>
      <c r="W60" s="154"/>
      <c r="X60" s="154"/>
      <c r="Y60" s="154"/>
      <c r="Z60" s="154"/>
      <c r="AA60" s="154">
        <v>0</v>
      </c>
      <c r="AB60" s="154"/>
      <c r="AC60" s="154"/>
      <c r="AD60" s="154"/>
      <c r="AE60" s="154"/>
    </row>
    <row r="61" spans="2:31" x14ac:dyDescent="0.35">
      <c r="B61" s="157">
        <v>38</v>
      </c>
      <c r="C61" s="157"/>
      <c r="D61" s="157"/>
      <c r="E61" s="157"/>
      <c r="F61" s="157"/>
      <c r="G61" s="154">
        <v>0</v>
      </c>
      <c r="H61" s="154"/>
      <c r="I61" s="154"/>
      <c r="J61" s="154"/>
      <c r="K61" s="154"/>
      <c r="L61" s="154">
        <v>0</v>
      </c>
      <c r="M61" s="154"/>
      <c r="N61" s="154"/>
      <c r="O61" s="154"/>
      <c r="P61" s="154"/>
      <c r="Q61" s="157">
        <v>59</v>
      </c>
      <c r="R61" s="157"/>
      <c r="S61" s="157"/>
      <c r="T61" s="157"/>
      <c r="U61" s="157"/>
      <c r="V61" s="154">
        <v>0</v>
      </c>
      <c r="W61" s="154"/>
      <c r="X61" s="154"/>
      <c r="Y61" s="154"/>
      <c r="Z61" s="154"/>
      <c r="AA61" s="154">
        <v>0</v>
      </c>
      <c r="AB61" s="154"/>
      <c r="AC61" s="154"/>
      <c r="AD61" s="154"/>
      <c r="AE61" s="154"/>
    </row>
    <row r="62" spans="2:31" x14ac:dyDescent="0.35">
      <c r="B62" s="157">
        <v>39</v>
      </c>
      <c r="C62" s="157"/>
      <c r="D62" s="157"/>
      <c r="E62" s="157"/>
      <c r="F62" s="157"/>
      <c r="G62" s="154">
        <v>0</v>
      </c>
      <c r="H62" s="154"/>
      <c r="I62" s="154"/>
      <c r="J62" s="154"/>
      <c r="K62" s="154"/>
      <c r="L62" s="154">
        <v>0</v>
      </c>
      <c r="M62" s="154"/>
      <c r="N62" s="154"/>
      <c r="O62" s="154"/>
      <c r="P62" s="154"/>
      <c r="Q62" s="157">
        <v>60</v>
      </c>
      <c r="R62" s="157"/>
      <c r="S62" s="157"/>
      <c r="T62" s="157"/>
      <c r="U62" s="157"/>
      <c r="V62" s="154">
        <v>0</v>
      </c>
      <c r="W62" s="154"/>
      <c r="X62" s="154"/>
      <c r="Y62" s="154"/>
      <c r="Z62" s="154"/>
      <c r="AA62" s="154">
        <v>0</v>
      </c>
      <c r="AB62" s="154"/>
      <c r="AC62" s="154"/>
      <c r="AD62" s="154"/>
      <c r="AE62" s="154"/>
    </row>
    <row r="63" spans="2:31" x14ac:dyDescent="0.35">
      <c r="B63" s="157">
        <v>40</v>
      </c>
      <c r="C63" s="157"/>
      <c r="D63" s="157"/>
      <c r="E63" s="157"/>
      <c r="F63" s="157"/>
      <c r="G63" s="154">
        <v>0</v>
      </c>
      <c r="H63" s="154"/>
      <c r="I63" s="154"/>
      <c r="J63" s="154"/>
      <c r="K63" s="154"/>
      <c r="L63" s="154">
        <v>0</v>
      </c>
      <c r="M63" s="154"/>
      <c r="N63" s="154"/>
      <c r="O63" s="154"/>
      <c r="P63" s="154"/>
      <c r="Q63" s="157">
        <v>61</v>
      </c>
      <c r="R63" s="157"/>
      <c r="S63" s="157"/>
      <c r="T63" s="157"/>
      <c r="U63" s="157"/>
      <c r="V63" s="154">
        <v>0</v>
      </c>
      <c r="W63" s="154"/>
      <c r="X63" s="154"/>
      <c r="Y63" s="154"/>
      <c r="Z63" s="154"/>
      <c r="AA63" s="154">
        <v>0</v>
      </c>
      <c r="AB63" s="154"/>
      <c r="AC63" s="154"/>
      <c r="AD63" s="154"/>
      <c r="AE63" s="154"/>
    </row>
    <row r="64" spans="2:31" x14ac:dyDescent="0.35">
      <c r="B64" s="157">
        <v>41</v>
      </c>
      <c r="C64" s="157"/>
      <c r="D64" s="157"/>
      <c r="E64" s="157"/>
      <c r="F64" s="157"/>
      <c r="G64" s="154">
        <v>0</v>
      </c>
      <c r="H64" s="154"/>
      <c r="I64" s="154"/>
      <c r="J64" s="154"/>
      <c r="K64" s="154"/>
      <c r="L64" s="154">
        <v>0</v>
      </c>
      <c r="M64" s="154"/>
      <c r="N64" s="154"/>
      <c r="O64" s="154"/>
      <c r="P64" s="154"/>
      <c r="Q64" s="157">
        <v>62</v>
      </c>
      <c r="R64" s="157"/>
      <c r="S64" s="157"/>
      <c r="T64" s="157"/>
      <c r="U64" s="157"/>
      <c r="V64" s="154">
        <v>0</v>
      </c>
      <c r="W64" s="154"/>
      <c r="X64" s="154"/>
      <c r="Y64" s="154"/>
      <c r="Z64" s="154"/>
      <c r="AA64" s="154">
        <v>0</v>
      </c>
      <c r="AB64" s="154"/>
      <c r="AC64" s="154"/>
      <c r="AD64" s="154"/>
      <c r="AE64" s="154"/>
    </row>
    <row r="65" spans="2:31" x14ac:dyDescent="0.35">
      <c r="B65" s="157">
        <v>42</v>
      </c>
      <c r="C65" s="157"/>
      <c r="D65" s="157"/>
      <c r="E65" s="157"/>
      <c r="F65" s="157"/>
      <c r="G65" s="154">
        <v>0</v>
      </c>
      <c r="H65" s="154"/>
      <c r="I65" s="154"/>
      <c r="J65" s="154"/>
      <c r="K65" s="154"/>
      <c r="L65" s="154">
        <v>0</v>
      </c>
      <c r="M65" s="154"/>
      <c r="N65" s="154"/>
      <c r="O65" s="154"/>
      <c r="P65" s="154"/>
      <c r="Q65" s="157">
        <v>63</v>
      </c>
      <c r="R65" s="157"/>
      <c r="S65" s="157"/>
      <c r="T65" s="157"/>
      <c r="U65" s="157"/>
      <c r="V65" s="154">
        <v>0</v>
      </c>
      <c r="W65" s="154"/>
      <c r="X65" s="154"/>
      <c r="Y65" s="154"/>
      <c r="Z65" s="154"/>
      <c r="AA65" s="154">
        <v>0</v>
      </c>
      <c r="AB65" s="154"/>
      <c r="AC65" s="154"/>
      <c r="AD65" s="154"/>
      <c r="AE65" s="154"/>
    </row>
    <row r="66" spans="2:31" x14ac:dyDescent="0.35">
      <c r="B66" s="157">
        <v>43</v>
      </c>
      <c r="C66" s="157"/>
      <c r="D66" s="157"/>
      <c r="E66" s="157"/>
      <c r="F66" s="157"/>
      <c r="G66" s="154">
        <v>0</v>
      </c>
      <c r="H66" s="154"/>
      <c r="I66" s="154"/>
      <c r="J66" s="154"/>
      <c r="K66" s="154"/>
      <c r="L66" s="154">
        <v>0</v>
      </c>
      <c r="M66" s="154"/>
      <c r="N66" s="154"/>
      <c r="O66" s="154"/>
      <c r="P66" s="154"/>
      <c r="Q66" s="157">
        <v>64</v>
      </c>
      <c r="R66" s="157"/>
      <c r="S66" s="157"/>
      <c r="T66" s="157"/>
      <c r="U66" s="157"/>
      <c r="V66" s="154">
        <v>0</v>
      </c>
      <c r="W66" s="154"/>
      <c r="X66" s="154"/>
      <c r="Y66" s="154"/>
      <c r="Z66" s="154"/>
      <c r="AA66" s="154">
        <v>0</v>
      </c>
      <c r="AB66" s="154"/>
      <c r="AC66" s="154"/>
      <c r="AD66" s="154"/>
      <c r="AE66" s="154"/>
    </row>
    <row r="67" spans="2:31" x14ac:dyDescent="0.35">
      <c r="B67" s="157">
        <v>44</v>
      </c>
      <c r="C67" s="157"/>
      <c r="D67" s="157"/>
      <c r="E67" s="157"/>
      <c r="F67" s="157"/>
      <c r="G67" s="154">
        <v>0</v>
      </c>
      <c r="H67" s="154"/>
      <c r="I67" s="154"/>
      <c r="J67" s="154"/>
      <c r="K67" s="154"/>
      <c r="L67" s="154">
        <v>0</v>
      </c>
      <c r="M67" s="154"/>
      <c r="N67" s="154"/>
      <c r="O67" s="154"/>
      <c r="P67" s="154"/>
      <c r="Q67" s="157" t="s">
        <v>175</v>
      </c>
      <c r="R67" s="157"/>
      <c r="S67" s="157"/>
      <c r="T67" s="157"/>
      <c r="U67" s="157"/>
      <c r="V67" s="154">
        <v>0</v>
      </c>
      <c r="W67" s="154"/>
      <c r="X67" s="154"/>
      <c r="Y67" s="154"/>
      <c r="Z67" s="154"/>
      <c r="AA67" s="154">
        <v>0</v>
      </c>
      <c r="AB67" s="154"/>
      <c r="AC67" s="154"/>
      <c r="AD67" s="154"/>
      <c r="AE67" s="154"/>
    </row>
    <row r="68" spans="2:31" x14ac:dyDescent="0.35">
      <c r="B68" s="157">
        <v>45</v>
      </c>
      <c r="C68" s="157"/>
      <c r="D68" s="157"/>
      <c r="E68" s="157"/>
      <c r="F68" s="157"/>
      <c r="G68" s="154">
        <v>0</v>
      </c>
      <c r="H68" s="154"/>
      <c r="I68" s="154"/>
      <c r="J68" s="154"/>
      <c r="K68" s="154"/>
      <c r="L68" s="154">
        <v>0</v>
      </c>
      <c r="M68" s="154"/>
      <c r="N68" s="154"/>
      <c r="O68" s="154"/>
      <c r="P68" s="154"/>
      <c r="Q68" s="156"/>
      <c r="R68" s="156"/>
      <c r="S68" s="156"/>
      <c r="T68" s="156"/>
      <c r="U68" s="156"/>
      <c r="V68" s="155"/>
      <c r="W68" s="155"/>
      <c r="X68" s="155"/>
      <c r="Y68" s="155"/>
      <c r="Z68" s="155"/>
      <c r="AA68" s="155"/>
      <c r="AB68" s="155"/>
      <c r="AC68" s="155"/>
      <c r="AD68" s="155"/>
      <c r="AE68" s="155"/>
    </row>
  </sheetData>
  <sheetProtection algorithmName="SHA-512" hashValue="Mu6Q14UkR9OLtL6tjw3v6TJu5RbBOxyScAVNQoW3X9K1ArYOm93k2ufdIWm3zXf6F7aIyqkTN+EbnZa+FzEb/A==" saltValue="fgoxjX33LBB4eSf/XwDNmQ==" spinCount="100000" sheet="1" objects="1" scenarios="1"/>
  <mergeCells count="167">
    <mergeCell ref="C26:AE29"/>
    <mergeCell ref="C30:AE31"/>
    <mergeCell ref="C32:AE32"/>
    <mergeCell ref="B68:F68"/>
    <mergeCell ref="G68:K68"/>
    <mergeCell ref="L68:P68"/>
    <mergeCell ref="Q68:U68"/>
    <mergeCell ref="V68:Z68"/>
    <mergeCell ref="AA68:AE68"/>
    <mergeCell ref="B67:F67"/>
    <mergeCell ref="G67:K67"/>
    <mergeCell ref="L67:P67"/>
    <mergeCell ref="Q67:U67"/>
    <mergeCell ref="V67:Z67"/>
    <mergeCell ref="AA67:AE67"/>
    <mergeCell ref="B66:F66"/>
    <mergeCell ref="G66:K66"/>
    <mergeCell ref="L66:P66"/>
    <mergeCell ref="Q66:U66"/>
    <mergeCell ref="V66:Z66"/>
    <mergeCell ref="AA66:AE66"/>
    <mergeCell ref="B65:F65"/>
    <mergeCell ref="G65:K65"/>
    <mergeCell ref="L65:P65"/>
    <mergeCell ref="Q65:U65"/>
    <mergeCell ref="V65:Z65"/>
    <mergeCell ref="AA65:AE65"/>
    <mergeCell ref="B64:F64"/>
    <mergeCell ref="G64:K64"/>
    <mergeCell ref="L64:P64"/>
    <mergeCell ref="Q64:U64"/>
    <mergeCell ref="V64:Z64"/>
    <mergeCell ref="AA64:AE64"/>
    <mergeCell ref="B63:F63"/>
    <mergeCell ref="G63:K63"/>
    <mergeCell ref="L63:P63"/>
    <mergeCell ref="Q63:U63"/>
    <mergeCell ref="V63:Z63"/>
    <mergeCell ref="AA63:AE63"/>
    <mergeCell ref="B62:F62"/>
    <mergeCell ref="G62:K62"/>
    <mergeCell ref="L62:P62"/>
    <mergeCell ref="Q62:U62"/>
    <mergeCell ref="V62:Z62"/>
    <mergeCell ref="AA62:AE62"/>
    <mergeCell ref="B61:F61"/>
    <mergeCell ref="G61:K61"/>
    <mergeCell ref="L61:P61"/>
    <mergeCell ref="Q61:U61"/>
    <mergeCell ref="V61:Z61"/>
    <mergeCell ref="AA61:AE61"/>
    <mergeCell ref="B60:F60"/>
    <mergeCell ref="G60:K60"/>
    <mergeCell ref="L60:P60"/>
    <mergeCell ref="Q60:U60"/>
    <mergeCell ref="V60:Z60"/>
    <mergeCell ref="AA60:AE60"/>
    <mergeCell ref="B59:F59"/>
    <mergeCell ref="G59:K59"/>
    <mergeCell ref="L59:P59"/>
    <mergeCell ref="Q59:U59"/>
    <mergeCell ref="V59:Z59"/>
    <mergeCell ref="AA59:AE59"/>
    <mergeCell ref="B58:F58"/>
    <mergeCell ref="G58:K58"/>
    <mergeCell ref="L58:P58"/>
    <mergeCell ref="Q58:U58"/>
    <mergeCell ref="V58:Z58"/>
    <mergeCell ref="AA58:AE58"/>
    <mergeCell ref="B57:F57"/>
    <mergeCell ref="G57:K57"/>
    <mergeCell ref="L57:P57"/>
    <mergeCell ref="Q57:U57"/>
    <mergeCell ref="V57:Z57"/>
    <mergeCell ref="AA57:AE57"/>
    <mergeCell ref="B56:F56"/>
    <mergeCell ref="G56:K56"/>
    <mergeCell ref="L56:P56"/>
    <mergeCell ref="Q56:U56"/>
    <mergeCell ref="V56:Z56"/>
    <mergeCell ref="AA56:AE56"/>
    <mergeCell ref="B55:F55"/>
    <mergeCell ref="G55:K55"/>
    <mergeCell ref="L55:P55"/>
    <mergeCell ref="Q55:U55"/>
    <mergeCell ref="V55:Z55"/>
    <mergeCell ref="AA55:AE55"/>
    <mergeCell ref="B54:F54"/>
    <mergeCell ref="G54:K54"/>
    <mergeCell ref="L54:P54"/>
    <mergeCell ref="Q54:U54"/>
    <mergeCell ref="V54:Z54"/>
    <mergeCell ref="AA54:AE54"/>
    <mergeCell ref="B53:F53"/>
    <mergeCell ref="G53:K53"/>
    <mergeCell ref="L53:P53"/>
    <mergeCell ref="Q53:U53"/>
    <mergeCell ref="V53:Z53"/>
    <mergeCell ref="AA53:AE53"/>
    <mergeCell ref="B52:F52"/>
    <mergeCell ref="G52:K52"/>
    <mergeCell ref="L52:P52"/>
    <mergeCell ref="Q52:U52"/>
    <mergeCell ref="V52:Z52"/>
    <mergeCell ref="AA52:AE52"/>
    <mergeCell ref="B51:F51"/>
    <mergeCell ref="G51:K51"/>
    <mergeCell ref="L51:P51"/>
    <mergeCell ref="Q51:U51"/>
    <mergeCell ref="V51:Z51"/>
    <mergeCell ref="AA51:AE51"/>
    <mergeCell ref="B50:F50"/>
    <mergeCell ref="G50:K50"/>
    <mergeCell ref="L50:P50"/>
    <mergeCell ref="Q50:U50"/>
    <mergeCell ref="V50:Z50"/>
    <mergeCell ref="AA50:AE50"/>
    <mergeCell ref="B49:F49"/>
    <mergeCell ref="G49:K49"/>
    <mergeCell ref="L49:P49"/>
    <mergeCell ref="Q49:U49"/>
    <mergeCell ref="V49:Z49"/>
    <mergeCell ref="AA49:AE49"/>
    <mergeCell ref="B48:F48"/>
    <mergeCell ref="G48:K48"/>
    <mergeCell ref="L48:P48"/>
    <mergeCell ref="Q48:U48"/>
    <mergeCell ref="V48:Z48"/>
    <mergeCell ref="AA48:AE48"/>
    <mergeCell ref="B41:P41"/>
    <mergeCell ref="Q41:AE41"/>
    <mergeCell ref="B43:AE43"/>
    <mergeCell ref="B44:F47"/>
    <mergeCell ref="G44:K47"/>
    <mergeCell ref="L44:P47"/>
    <mergeCell ref="Q44:U47"/>
    <mergeCell ref="V44:Z47"/>
    <mergeCell ref="AA44:AE47"/>
    <mergeCell ref="B38:P38"/>
    <mergeCell ref="Q38:AE38"/>
    <mergeCell ref="B39:P39"/>
    <mergeCell ref="Q39:AE39"/>
    <mergeCell ref="B40:P40"/>
    <mergeCell ref="Q40:AE40"/>
    <mergeCell ref="B34:AE34"/>
    <mergeCell ref="B35:P36"/>
    <mergeCell ref="Q35:AE36"/>
    <mergeCell ref="B37:P37"/>
    <mergeCell ref="Q37:AE37"/>
    <mergeCell ref="K18:AE21"/>
    <mergeCell ref="K22:AE25"/>
    <mergeCell ref="J13:AE13"/>
    <mergeCell ref="K14:AE14"/>
    <mergeCell ref="K15:AE15"/>
    <mergeCell ref="K16:AE16"/>
    <mergeCell ref="K17:AE17"/>
    <mergeCell ref="B2:AE2"/>
    <mergeCell ref="B3:I4"/>
    <mergeCell ref="J3:AE4"/>
    <mergeCell ref="B5:I17"/>
    <mergeCell ref="J5:AE5"/>
    <mergeCell ref="K6:AE6"/>
    <mergeCell ref="K7:AE7"/>
    <mergeCell ref="J8:AE8"/>
    <mergeCell ref="K9:AE10"/>
    <mergeCell ref="K11:AE12"/>
    <mergeCell ref="B18:I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6EBE-56D8-485A-8F22-FFA139F8D55D}">
  <sheetPr>
    <tabColor theme="7" tint="0.79998168889431442"/>
    <pageSetUpPr fitToPage="1"/>
  </sheetPr>
  <dimension ref="B2:BJ80"/>
  <sheetViews>
    <sheetView showGridLines="0" showRowColHeaders="0" zoomScaleNormal="100" workbookViewId="0">
      <selection activeCell="AJ7" sqref="AJ7:AJ10"/>
    </sheetView>
  </sheetViews>
  <sheetFormatPr defaultColWidth="3.453125" defaultRowHeight="14.5" x14ac:dyDescent="0.35"/>
  <cols>
    <col min="1" max="34" width="3.453125" style="2"/>
    <col min="35" max="35" width="7.08984375" style="1" customWidth="1"/>
    <col min="36" max="36" width="19" style="3" customWidth="1"/>
    <col min="37" max="16384" width="3.453125" style="2"/>
  </cols>
  <sheetData>
    <row r="2" spans="2:62" ht="14.4" customHeight="1" x14ac:dyDescent="0.35">
      <c r="B2" s="103" t="s">
        <v>242</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2:62" ht="14.4" customHeight="1" x14ac:dyDescent="0.35">
      <c r="B3" s="104" t="s">
        <v>243</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spans="2:62" x14ac:dyDescent="0.35">
      <c r="B4" s="92" t="s">
        <v>244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row>
    <row r="5" spans="2:62" ht="18.5" x14ac:dyDescent="0.35">
      <c r="B5" s="99" t="s">
        <v>43</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1"/>
    </row>
    <row r="6" spans="2:62" x14ac:dyDescent="0.35">
      <c r="B6" s="122" t="s">
        <v>186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0"/>
      <c r="AJ6" s="121"/>
      <c r="AK6" s="82" t="s">
        <v>349</v>
      </c>
      <c r="AL6" s="83"/>
      <c r="AM6" s="83"/>
      <c r="AN6" s="83"/>
      <c r="AO6" s="83"/>
      <c r="AP6" s="83"/>
      <c r="AQ6" s="83"/>
      <c r="AR6" s="83"/>
      <c r="AS6" s="83"/>
      <c r="AT6" s="83"/>
      <c r="AU6" s="83"/>
      <c r="AV6" s="83"/>
      <c r="AW6" s="83"/>
      <c r="AX6" s="83"/>
      <c r="AY6" s="83"/>
      <c r="AZ6" s="83"/>
      <c r="BA6" s="83"/>
      <c r="BB6" s="83"/>
      <c r="BC6" s="83"/>
      <c r="BD6" s="83"/>
      <c r="BE6" s="83"/>
      <c r="BF6" s="83"/>
      <c r="BG6" s="83"/>
      <c r="BH6" s="83"/>
      <c r="BI6" s="83"/>
      <c r="BJ6" s="84"/>
    </row>
    <row r="7" spans="2:62" x14ac:dyDescent="0.35">
      <c r="B7" s="33"/>
      <c r="C7" s="22"/>
      <c r="D7" s="22" t="s">
        <v>3</v>
      </c>
      <c r="E7" s="96" t="s">
        <v>187</v>
      </c>
      <c r="F7" s="96"/>
      <c r="G7" s="96"/>
      <c r="H7" s="96"/>
      <c r="I7" s="96"/>
      <c r="J7" s="96"/>
      <c r="K7" s="96"/>
      <c r="L7" s="96"/>
      <c r="M7" s="96"/>
      <c r="N7" s="96"/>
      <c r="O7" s="96"/>
      <c r="P7" s="96"/>
      <c r="Q7" s="96"/>
      <c r="R7" s="96"/>
      <c r="S7" s="96"/>
      <c r="T7" s="96"/>
      <c r="U7" s="96"/>
      <c r="V7" s="96"/>
      <c r="W7" s="96"/>
      <c r="X7" s="96"/>
      <c r="Y7" s="96"/>
      <c r="Z7" s="97"/>
      <c r="AA7" s="98" t="s">
        <v>303</v>
      </c>
      <c r="AB7" s="98"/>
      <c r="AC7" s="98"/>
      <c r="AD7" s="98"/>
      <c r="AE7" s="98"/>
      <c r="AF7" s="98"/>
      <c r="AG7" s="98"/>
      <c r="AH7" s="98"/>
      <c r="AI7" s="245"/>
      <c r="AJ7" s="231"/>
      <c r="AK7" s="73" t="s">
        <v>343</v>
      </c>
      <c r="AL7" s="74"/>
      <c r="AM7" s="74"/>
      <c r="AN7" s="74"/>
      <c r="AO7" s="74"/>
      <c r="AP7" s="74"/>
      <c r="AQ7" s="74"/>
      <c r="AR7" s="74"/>
      <c r="AS7" s="74"/>
      <c r="AT7" s="74"/>
      <c r="AU7" s="74"/>
      <c r="AV7" s="74"/>
      <c r="AW7" s="74"/>
      <c r="AX7" s="74"/>
      <c r="AY7" s="74"/>
      <c r="AZ7" s="74"/>
      <c r="BA7" s="74"/>
      <c r="BB7" s="74"/>
      <c r="BC7" s="74"/>
      <c r="BD7" s="74"/>
      <c r="BE7" s="74"/>
      <c r="BF7" s="74"/>
      <c r="BG7" s="74"/>
      <c r="BH7" s="74"/>
      <c r="BI7" s="74"/>
      <c r="BJ7" s="75"/>
    </row>
    <row r="8" spans="2:62" x14ac:dyDescent="0.35">
      <c r="B8" s="23"/>
      <c r="C8" s="24"/>
      <c r="D8" s="24"/>
      <c r="E8" s="24"/>
      <c r="F8" s="94"/>
      <c r="G8" s="94"/>
      <c r="H8" s="94"/>
      <c r="I8" s="94"/>
      <c r="J8" s="94"/>
      <c r="K8" s="94"/>
      <c r="L8" s="94"/>
      <c r="M8" s="94"/>
      <c r="N8" s="94"/>
      <c r="O8" s="94"/>
      <c r="P8" s="94"/>
      <c r="Q8" s="94"/>
      <c r="R8" s="94"/>
      <c r="S8" s="94"/>
      <c r="T8" s="94"/>
      <c r="U8" s="94"/>
      <c r="V8" s="94"/>
      <c r="W8" s="94"/>
      <c r="X8" s="94"/>
      <c r="Y8" s="94"/>
      <c r="Z8" s="95"/>
      <c r="AA8" s="230"/>
      <c r="AB8" s="230"/>
      <c r="AC8" s="230"/>
      <c r="AD8" s="230"/>
      <c r="AE8" s="230"/>
      <c r="AF8" s="230"/>
      <c r="AG8" s="230"/>
      <c r="AH8" s="230"/>
      <c r="AI8" s="246"/>
      <c r="AJ8" s="232"/>
      <c r="AK8" s="76"/>
      <c r="AL8" s="77"/>
      <c r="AM8" s="77"/>
      <c r="AN8" s="77"/>
      <c r="AO8" s="77"/>
      <c r="AP8" s="77"/>
      <c r="AQ8" s="77"/>
      <c r="AR8" s="77"/>
      <c r="AS8" s="77"/>
      <c r="AT8" s="77"/>
      <c r="AU8" s="77"/>
      <c r="AV8" s="77"/>
      <c r="AW8" s="77"/>
      <c r="AX8" s="77"/>
      <c r="AY8" s="77"/>
      <c r="AZ8" s="77"/>
      <c r="BA8" s="77"/>
      <c r="BB8" s="77"/>
      <c r="BC8" s="77"/>
      <c r="BD8" s="77"/>
      <c r="BE8" s="77"/>
      <c r="BF8" s="77"/>
      <c r="BG8" s="77"/>
      <c r="BH8" s="77"/>
      <c r="BI8" s="77"/>
      <c r="BJ8" s="78"/>
    </row>
    <row r="9" spans="2:62" x14ac:dyDescent="0.35">
      <c r="B9" s="23"/>
      <c r="C9" s="24"/>
      <c r="D9" s="24"/>
      <c r="E9" s="24"/>
      <c r="F9" s="102"/>
      <c r="G9" s="102"/>
      <c r="H9" s="102"/>
      <c r="I9" s="102"/>
      <c r="J9" s="102"/>
      <c r="K9" s="102"/>
      <c r="L9" s="102"/>
      <c r="M9" s="102"/>
      <c r="N9" s="102"/>
      <c r="O9" s="102"/>
      <c r="P9" s="102"/>
      <c r="Q9" s="102"/>
      <c r="R9" s="135"/>
      <c r="S9" s="98" t="s">
        <v>309</v>
      </c>
      <c r="T9" s="98"/>
      <c r="U9" s="98"/>
      <c r="V9" s="98"/>
      <c r="W9" s="98"/>
      <c r="X9" s="98"/>
      <c r="Y9" s="98"/>
      <c r="Z9" s="98"/>
      <c r="AA9" s="98" t="s">
        <v>310</v>
      </c>
      <c r="AB9" s="98"/>
      <c r="AC9" s="98"/>
      <c r="AD9" s="98"/>
      <c r="AE9" s="98"/>
      <c r="AF9" s="98"/>
      <c r="AG9" s="98"/>
      <c r="AH9" s="98"/>
      <c r="AI9" s="40"/>
      <c r="AJ9" s="232"/>
      <c r="AK9" s="76"/>
      <c r="AL9" s="77"/>
      <c r="AM9" s="77"/>
      <c r="AN9" s="77"/>
      <c r="AO9" s="77"/>
      <c r="AP9" s="77"/>
      <c r="AQ9" s="77"/>
      <c r="AR9" s="77"/>
      <c r="AS9" s="77"/>
      <c r="AT9" s="77"/>
      <c r="AU9" s="77"/>
      <c r="AV9" s="77"/>
      <c r="AW9" s="77"/>
      <c r="AX9" s="77"/>
      <c r="AY9" s="77"/>
      <c r="AZ9" s="77"/>
      <c r="BA9" s="77"/>
      <c r="BB9" s="77"/>
      <c r="BC9" s="77"/>
      <c r="BD9" s="77"/>
      <c r="BE9" s="77"/>
      <c r="BF9" s="77"/>
      <c r="BG9" s="77"/>
      <c r="BH9" s="77"/>
      <c r="BI9" s="77"/>
      <c r="BJ9" s="78"/>
    </row>
    <row r="10" spans="2:62" x14ac:dyDescent="0.35">
      <c r="B10" s="29"/>
      <c r="C10" s="19"/>
      <c r="D10" s="19"/>
      <c r="E10" s="19"/>
      <c r="F10" s="136"/>
      <c r="G10" s="136"/>
      <c r="H10" s="136"/>
      <c r="I10" s="136"/>
      <c r="J10" s="136"/>
      <c r="K10" s="136"/>
      <c r="L10" s="136"/>
      <c r="M10" s="136"/>
      <c r="N10" s="136"/>
      <c r="O10" s="136"/>
      <c r="P10" s="136"/>
      <c r="Q10" s="136"/>
      <c r="R10" s="137"/>
      <c r="S10" s="208"/>
      <c r="T10" s="208"/>
      <c r="U10" s="208"/>
      <c r="V10" s="208"/>
      <c r="W10" s="208"/>
      <c r="X10" s="208"/>
      <c r="Y10" s="208"/>
      <c r="Z10" s="208"/>
      <c r="AA10" s="208"/>
      <c r="AB10" s="208"/>
      <c r="AC10" s="208"/>
      <c r="AD10" s="208"/>
      <c r="AE10" s="208"/>
      <c r="AF10" s="208"/>
      <c r="AG10" s="208"/>
      <c r="AH10" s="208"/>
      <c r="AI10" s="40"/>
      <c r="AJ10" s="233"/>
      <c r="AK10" s="79"/>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1"/>
    </row>
    <row r="11" spans="2:62" x14ac:dyDescent="0.35">
      <c r="B11" s="29"/>
      <c r="C11" s="19"/>
      <c r="D11" s="19" t="s">
        <v>4</v>
      </c>
      <c r="E11" s="92" t="s">
        <v>188</v>
      </c>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3"/>
      <c r="AI11" s="28" t="s">
        <v>135</v>
      </c>
      <c r="AJ11" s="43"/>
      <c r="AK11" s="70" t="s">
        <v>346</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2"/>
    </row>
    <row r="12" spans="2:62" x14ac:dyDescent="0.35">
      <c r="B12" s="31"/>
      <c r="C12" s="32"/>
      <c r="D12" s="32" t="s">
        <v>5</v>
      </c>
      <c r="E12" s="86" t="s">
        <v>189</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7"/>
      <c r="AI12" s="28" t="s">
        <v>135</v>
      </c>
      <c r="AJ12" s="43"/>
      <c r="AK12" s="70" t="s">
        <v>347</v>
      </c>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2"/>
    </row>
    <row r="13" spans="2:62" x14ac:dyDescent="0.35">
      <c r="B13" s="31"/>
      <c r="C13" s="32"/>
      <c r="D13" s="32" t="s">
        <v>6</v>
      </c>
      <c r="E13" s="86" t="s">
        <v>190</v>
      </c>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7"/>
      <c r="AI13" s="28" t="s">
        <v>135</v>
      </c>
      <c r="AJ13" s="43"/>
      <c r="AK13" s="70" t="s">
        <v>344</v>
      </c>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2"/>
    </row>
    <row r="14" spans="2:62" x14ac:dyDescent="0.35">
      <c r="B14" s="31"/>
      <c r="C14" s="32"/>
      <c r="D14" s="32" t="s">
        <v>7</v>
      </c>
      <c r="E14" s="86" t="s">
        <v>284</v>
      </c>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7"/>
      <c r="AI14" s="28" t="s">
        <v>135</v>
      </c>
      <c r="AJ14" s="43"/>
      <c r="AK14" s="70" t="s">
        <v>345</v>
      </c>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row>
    <row r="15" spans="2:62" x14ac:dyDescent="0.35">
      <c r="B15" s="31"/>
      <c r="C15" s="32"/>
      <c r="D15" s="32" t="s">
        <v>8</v>
      </c>
      <c r="E15" s="86" t="s">
        <v>191</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7"/>
      <c r="AI15" s="28" t="s">
        <v>135</v>
      </c>
      <c r="AJ15" s="43"/>
      <c r="AK15" s="70" t="s">
        <v>348</v>
      </c>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row>
    <row r="16" spans="2:62" x14ac:dyDescent="0.35">
      <c r="B16" s="31"/>
      <c r="C16" s="32" t="s">
        <v>9</v>
      </c>
      <c r="D16" s="86" t="s">
        <v>192</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7"/>
      <c r="AI16" s="28" t="s">
        <v>136</v>
      </c>
      <c r="AJ16" s="44">
        <f>ROUND(SUM(AJ7:AJ15),0)</f>
        <v>0</v>
      </c>
    </row>
    <row r="17" spans="2:62" x14ac:dyDescent="0.35">
      <c r="B17" s="119" t="s">
        <v>193</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90"/>
      <c r="AJ17" s="91"/>
    </row>
    <row r="18" spans="2:62" x14ac:dyDescent="0.35">
      <c r="B18" s="31"/>
      <c r="C18" s="32"/>
      <c r="D18" s="32" t="s">
        <v>11</v>
      </c>
      <c r="E18" s="86" t="s">
        <v>285</v>
      </c>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7"/>
      <c r="AI18" s="34"/>
      <c r="AJ18" s="43"/>
    </row>
    <row r="19" spans="2:62" x14ac:dyDescent="0.35">
      <c r="B19" s="31"/>
      <c r="C19" s="32"/>
      <c r="D19" s="32" t="s">
        <v>12</v>
      </c>
      <c r="E19" s="86" t="s">
        <v>194</v>
      </c>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7"/>
      <c r="AI19" s="28" t="s">
        <v>135</v>
      </c>
      <c r="AJ19" s="43"/>
      <c r="AK19" s="70" t="s">
        <v>447</v>
      </c>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2"/>
    </row>
    <row r="20" spans="2:62" x14ac:dyDescent="0.35">
      <c r="B20" s="31"/>
      <c r="C20" s="32"/>
      <c r="D20" s="32" t="s">
        <v>13</v>
      </c>
      <c r="E20" s="86" t="s">
        <v>195</v>
      </c>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7"/>
      <c r="AI20" s="28" t="s">
        <v>135</v>
      </c>
      <c r="AJ20" s="43"/>
    </row>
    <row r="21" spans="2:62" x14ac:dyDescent="0.35">
      <c r="B21" s="31"/>
      <c r="C21" s="32" t="s">
        <v>14</v>
      </c>
      <c r="D21" s="86" t="s">
        <v>196</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28" t="s">
        <v>136</v>
      </c>
      <c r="AJ21" s="44">
        <f>ROUND(SUM(AJ18:AJ20),0)</f>
        <v>0</v>
      </c>
    </row>
    <row r="22" spans="2:62" x14ac:dyDescent="0.35">
      <c r="B22" s="33"/>
      <c r="C22" s="22" t="s">
        <v>15</v>
      </c>
      <c r="D22" s="96" t="s">
        <v>286</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7"/>
      <c r="AI22" s="98" t="s">
        <v>136</v>
      </c>
      <c r="AJ22" s="209">
        <f>ROUND(AJ16-AJ21,0)</f>
        <v>0</v>
      </c>
    </row>
    <row r="23" spans="2:62" x14ac:dyDescent="0.35">
      <c r="B23" s="23"/>
      <c r="C23" s="24"/>
      <c r="D23" s="35" t="s">
        <v>16</v>
      </c>
      <c r="E23" s="94" t="s">
        <v>197</v>
      </c>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5"/>
      <c r="AI23" s="98"/>
      <c r="AJ23" s="209"/>
    </row>
    <row r="24" spans="2:62" x14ac:dyDescent="0.35">
      <c r="B24" s="29"/>
      <c r="C24" s="19"/>
      <c r="D24" s="37" t="s">
        <v>16</v>
      </c>
      <c r="E24" s="92" t="s">
        <v>82</v>
      </c>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3"/>
      <c r="AI24" s="98"/>
      <c r="AJ24" s="209"/>
    </row>
    <row r="25" spans="2:62" x14ac:dyDescent="0.35">
      <c r="B25" s="119" t="s">
        <v>198</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90"/>
      <c r="AJ25" s="91"/>
    </row>
    <row r="26" spans="2:62" x14ac:dyDescent="0.35">
      <c r="B26" s="31"/>
      <c r="C26" s="32" t="s">
        <v>18</v>
      </c>
      <c r="D26" s="86" t="s">
        <v>199</v>
      </c>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34"/>
      <c r="AJ26" s="11"/>
      <c r="AK26" s="70" t="s">
        <v>448</v>
      </c>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2"/>
    </row>
    <row r="27" spans="2:62" x14ac:dyDescent="0.35">
      <c r="B27" s="31"/>
      <c r="C27" s="32" t="s">
        <v>19</v>
      </c>
      <c r="D27" s="86" t="s">
        <v>245</v>
      </c>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I27" s="34"/>
      <c r="AJ27" s="36"/>
    </row>
    <row r="28" spans="2:62" x14ac:dyDescent="0.35">
      <c r="B28" s="31"/>
      <c r="C28" s="32"/>
      <c r="D28" s="32" t="s">
        <v>3</v>
      </c>
      <c r="E28" s="86" t="s">
        <v>246</v>
      </c>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7"/>
      <c r="AI28" s="28" t="s">
        <v>135</v>
      </c>
      <c r="AJ28" s="44">
        <f>ROUND(IF(AND(OR(AA8="Married - Filed Separate Return",AA8="Married - Filed Joint Return"),S10+AA10&gt;250000),(250000*0.0145)+((S10+AA10-250000)*0.0235),IF(AND(OR(AA8="Married - Filed Separate Return",AA8="Married - Filed Joint Return"),S10+AA10&lt;250000),(S10+AA10)*0.0145,IF(S10+AA10&gt;200000,(200000*0.0145)+((S10+AA10-200000)*0.0235),(S10+AA10)*0.0145))),3)</f>
        <v>0</v>
      </c>
    </row>
    <row r="29" spans="2:62" x14ac:dyDescent="0.35">
      <c r="B29" s="33"/>
      <c r="C29" s="22"/>
      <c r="D29" s="22" t="s">
        <v>4</v>
      </c>
      <c r="E29" s="96" t="s">
        <v>247</v>
      </c>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7"/>
      <c r="AI29" s="28" t="s">
        <v>135</v>
      </c>
      <c r="AJ29" s="44">
        <f>ROUND(IF(AND(OR(AA8="Married - Filed Joint Return",AND(S10&gt;0,AA10&gt;0)),S10+AA10&gt;294000),18228,IF(OR(AA8="Married - Filed Joint Return",AND(S10&gt;0,AA10&gt;0)),(S10+AA10)*0.062,IF(AND(OR(S10&lt;=0,AA10&lt;=0),S10+AA10&gt;147000),9114,(S10+AA10)*0.062))),3)</f>
        <v>0</v>
      </c>
    </row>
    <row r="30" spans="2:62" x14ac:dyDescent="0.35">
      <c r="B30" s="33"/>
      <c r="C30" s="22" t="s">
        <v>20</v>
      </c>
      <c r="D30" s="96" t="s">
        <v>200</v>
      </c>
      <c r="E30" s="96"/>
      <c r="F30" s="96"/>
      <c r="G30" s="96"/>
      <c r="H30" s="96"/>
      <c r="I30" s="96"/>
      <c r="J30" s="96"/>
      <c r="K30" s="96"/>
      <c r="L30" s="96"/>
      <c r="M30" s="96"/>
      <c r="N30" s="96"/>
      <c r="O30" s="96"/>
      <c r="P30" s="96"/>
      <c r="Q30" s="96"/>
      <c r="R30" s="96"/>
      <c r="S30" s="96"/>
      <c r="T30" s="96"/>
      <c r="U30" s="96"/>
      <c r="V30" s="96"/>
      <c r="W30" s="216" t="s">
        <v>271</v>
      </c>
      <c r="X30" s="247"/>
      <c r="Y30" s="247"/>
      <c r="Z30" s="247"/>
      <c r="AA30" s="247"/>
      <c r="AB30" s="248"/>
      <c r="AC30" s="216" t="s">
        <v>206</v>
      </c>
      <c r="AD30" s="217"/>
      <c r="AE30" s="217"/>
      <c r="AF30" s="217"/>
      <c r="AG30" s="217"/>
      <c r="AH30" s="218"/>
      <c r="AI30" s="210" t="s">
        <v>135</v>
      </c>
      <c r="AJ30" s="213">
        <f>ROUND(IF(OR(ISBLANK(AC32),ISBLANK(W32)),0,IF(AC32="Married",VLOOKUP(W32,'Formula C Tables'!B37:AE41,16,TRUE),VLOOKUP(W32,'Formula C Tables'!B46:AE51,16,TRUE))),0)</f>
        <v>0</v>
      </c>
    </row>
    <row r="31" spans="2:62" x14ac:dyDescent="0.35">
      <c r="B31" s="23"/>
      <c r="C31" s="24"/>
      <c r="D31" s="35" t="s">
        <v>16</v>
      </c>
      <c r="E31" s="94" t="s">
        <v>248</v>
      </c>
      <c r="F31" s="94"/>
      <c r="G31" s="94"/>
      <c r="H31" s="94"/>
      <c r="I31" s="94"/>
      <c r="J31" s="94"/>
      <c r="K31" s="94"/>
      <c r="L31" s="94"/>
      <c r="M31" s="94"/>
      <c r="N31" s="94"/>
      <c r="O31" s="94"/>
      <c r="P31" s="94"/>
      <c r="Q31" s="94"/>
      <c r="R31" s="94"/>
      <c r="S31" s="94"/>
      <c r="T31" s="94"/>
      <c r="U31" s="94"/>
      <c r="V31" s="94"/>
      <c r="W31" s="249"/>
      <c r="X31" s="136"/>
      <c r="Y31" s="136"/>
      <c r="Z31" s="136"/>
      <c r="AA31" s="136"/>
      <c r="AB31" s="137"/>
      <c r="AC31" s="219"/>
      <c r="AD31" s="220"/>
      <c r="AE31" s="220"/>
      <c r="AF31" s="220"/>
      <c r="AG31" s="220"/>
      <c r="AH31" s="221"/>
      <c r="AI31" s="211"/>
      <c r="AJ31" s="214"/>
    </row>
    <row r="32" spans="2:62" x14ac:dyDescent="0.35">
      <c r="B32" s="23"/>
      <c r="C32" s="24"/>
      <c r="D32" s="35" t="s">
        <v>16</v>
      </c>
      <c r="E32" s="92" t="s">
        <v>249</v>
      </c>
      <c r="F32" s="92"/>
      <c r="G32" s="92"/>
      <c r="H32" s="92"/>
      <c r="I32" s="92"/>
      <c r="J32" s="92"/>
      <c r="K32" s="92"/>
      <c r="L32" s="92"/>
      <c r="M32" s="92"/>
      <c r="N32" s="92"/>
      <c r="O32" s="92"/>
      <c r="P32" s="92"/>
      <c r="Q32" s="92"/>
      <c r="R32" s="92"/>
      <c r="S32" s="92"/>
      <c r="T32" s="92"/>
      <c r="U32" s="92"/>
      <c r="V32" s="92"/>
      <c r="W32" s="112"/>
      <c r="X32" s="113"/>
      <c r="Y32" s="113"/>
      <c r="Z32" s="113"/>
      <c r="AA32" s="113"/>
      <c r="AB32" s="114"/>
      <c r="AC32" s="130"/>
      <c r="AD32" s="131"/>
      <c r="AE32" s="131"/>
      <c r="AF32" s="131"/>
      <c r="AG32" s="131"/>
      <c r="AH32" s="132"/>
      <c r="AI32" s="212"/>
      <c r="AJ32" s="215"/>
    </row>
    <row r="33" spans="2:62" x14ac:dyDescent="0.35">
      <c r="B33" s="33"/>
      <c r="C33" s="22" t="s">
        <v>21</v>
      </c>
      <c r="D33" s="96" t="s">
        <v>89</v>
      </c>
      <c r="E33" s="96"/>
      <c r="F33" s="96"/>
      <c r="G33" s="96"/>
      <c r="H33" s="96"/>
      <c r="I33" s="96"/>
      <c r="J33" s="96"/>
      <c r="K33" s="96"/>
      <c r="L33" s="96"/>
      <c r="M33" s="96"/>
      <c r="N33" s="96"/>
      <c r="O33" s="96"/>
      <c r="P33" s="96"/>
      <c r="Q33" s="96"/>
      <c r="R33" s="96"/>
      <c r="S33" s="96"/>
      <c r="T33" s="96"/>
      <c r="U33" s="96"/>
      <c r="V33" s="96"/>
      <c r="W33" s="94"/>
      <c r="X33" s="94"/>
      <c r="Y33" s="94"/>
      <c r="Z33" s="94"/>
      <c r="AA33" s="94"/>
      <c r="AB33" s="94"/>
      <c r="AC33" s="96"/>
      <c r="AD33" s="96"/>
      <c r="AE33" s="96"/>
      <c r="AF33" s="96"/>
      <c r="AG33" s="96"/>
      <c r="AH33" s="97"/>
      <c r="AI33" s="111" t="s">
        <v>135</v>
      </c>
      <c r="AJ33" s="209">
        <f>ROUND(IF(0.35*(S10+AA10)&gt;4730,4730,0.35*(S10+AA10)),0)</f>
        <v>0</v>
      </c>
    </row>
    <row r="34" spans="2:62" x14ac:dyDescent="0.35">
      <c r="B34" s="23"/>
      <c r="C34" s="24"/>
      <c r="D34" s="35" t="s">
        <v>16</v>
      </c>
      <c r="E34" s="94" t="s">
        <v>252</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5"/>
      <c r="AI34" s="111"/>
      <c r="AJ34" s="209"/>
    </row>
    <row r="35" spans="2:62" x14ac:dyDescent="0.35">
      <c r="B35" s="23"/>
      <c r="C35" s="24"/>
      <c r="D35" s="35"/>
      <c r="E35" s="35" t="s">
        <v>16</v>
      </c>
      <c r="F35" s="94" t="s">
        <v>250</v>
      </c>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c r="AI35" s="111"/>
      <c r="AJ35" s="209"/>
    </row>
    <row r="36" spans="2:62" x14ac:dyDescent="0.35">
      <c r="B36" s="23"/>
      <c r="C36" s="24"/>
      <c r="D36" s="35"/>
      <c r="E36" s="35" t="s">
        <v>16</v>
      </c>
      <c r="F36" s="94" t="s">
        <v>92</v>
      </c>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5"/>
      <c r="AI36" s="111"/>
      <c r="AJ36" s="209"/>
    </row>
    <row r="37" spans="2:62" x14ac:dyDescent="0.35">
      <c r="B37" s="23"/>
      <c r="C37" s="24"/>
      <c r="D37" s="35" t="s">
        <v>16</v>
      </c>
      <c r="E37" s="94" t="s">
        <v>208</v>
      </c>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5"/>
      <c r="AI37" s="111"/>
      <c r="AJ37" s="209"/>
    </row>
    <row r="38" spans="2:62" x14ac:dyDescent="0.35">
      <c r="B38" s="23"/>
      <c r="C38" s="24"/>
      <c r="D38" s="24"/>
      <c r="E38" s="35" t="s">
        <v>16</v>
      </c>
      <c r="F38" s="94" t="s">
        <v>251</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5"/>
      <c r="AI38" s="111"/>
      <c r="AJ38" s="209"/>
    </row>
    <row r="39" spans="2:62" x14ac:dyDescent="0.35">
      <c r="B39" s="29"/>
      <c r="C39" s="19"/>
      <c r="D39" s="19"/>
      <c r="E39" s="37" t="s">
        <v>16</v>
      </c>
      <c r="F39" s="92" t="s">
        <v>92</v>
      </c>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3"/>
      <c r="AI39" s="111"/>
      <c r="AJ39" s="209"/>
    </row>
    <row r="40" spans="2:62" x14ac:dyDescent="0.35">
      <c r="B40" s="29"/>
      <c r="C40" s="19" t="s">
        <v>22</v>
      </c>
      <c r="D40" s="92" t="s">
        <v>210</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3"/>
      <c r="AI40" s="28" t="s">
        <v>136</v>
      </c>
      <c r="AJ40" s="44">
        <f>ROUND(SUM(AJ26,AJ28,AJ29,AJ30,AJ33),0)</f>
        <v>0</v>
      </c>
    </row>
    <row r="41" spans="2:62" x14ac:dyDescent="0.35">
      <c r="B41" s="119" t="s">
        <v>253</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90"/>
      <c r="AJ41" s="91"/>
    </row>
    <row r="42" spans="2:62" x14ac:dyDescent="0.35">
      <c r="B42" s="85" t="s">
        <v>211</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7"/>
      <c r="AI42" s="34"/>
      <c r="AJ42" s="44">
        <f>ROUND(AJ22,0)</f>
        <v>0</v>
      </c>
    </row>
    <row r="43" spans="2:62" x14ac:dyDescent="0.35">
      <c r="B43" s="85" t="s">
        <v>212</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7"/>
      <c r="AI43" s="28" t="s">
        <v>137</v>
      </c>
      <c r="AJ43" s="44">
        <f>ROUND(AJ40,0)</f>
        <v>0</v>
      </c>
    </row>
    <row r="44" spans="2:62" x14ac:dyDescent="0.35">
      <c r="B44" s="33"/>
      <c r="C44" s="22" t="s">
        <v>26</v>
      </c>
      <c r="D44" s="96" t="s">
        <v>213</v>
      </c>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7"/>
      <c r="AI44" s="98" t="s">
        <v>136</v>
      </c>
      <c r="AJ44" s="209">
        <f>ROUND(AJ22-AJ40,0)</f>
        <v>0</v>
      </c>
    </row>
    <row r="45" spans="2:62" x14ac:dyDescent="0.35">
      <c r="B45" s="29"/>
      <c r="C45" s="19"/>
      <c r="D45" s="37" t="s">
        <v>16</v>
      </c>
      <c r="E45" s="92" t="s">
        <v>82</v>
      </c>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3"/>
      <c r="AI45" s="98"/>
      <c r="AJ45" s="209"/>
    </row>
    <row r="46" spans="2:62" x14ac:dyDescent="0.3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row>
    <row r="47" spans="2:62" ht="18.5" x14ac:dyDescent="0.35">
      <c r="B47" s="99" t="s">
        <v>61</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1"/>
      <c r="AK47" s="141" t="s">
        <v>449</v>
      </c>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3"/>
    </row>
    <row r="48" spans="2:62" x14ac:dyDescent="0.35">
      <c r="B48" s="31"/>
      <c r="C48" s="2" t="s">
        <v>28</v>
      </c>
      <c r="D48" s="86" t="s">
        <v>95</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7"/>
      <c r="AI48" s="34"/>
      <c r="AJ48" s="43"/>
      <c r="AK48" s="144"/>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6"/>
    </row>
    <row r="49" spans="2:36" x14ac:dyDescent="0.35">
      <c r="B49" s="33"/>
      <c r="C49" s="32" t="s">
        <v>29</v>
      </c>
      <c r="D49" s="86" t="s">
        <v>129</v>
      </c>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7"/>
      <c r="AI49" s="28"/>
      <c r="AJ49" s="43"/>
    </row>
    <row r="50" spans="2:36" x14ac:dyDescent="0.35">
      <c r="B50" s="33"/>
      <c r="C50" s="22" t="s">
        <v>30</v>
      </c>
      <c r="D50" s="96" t="s">
        <v>97</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7"/>
      <c r="AI50" s="98" t="s">
        <v>135</v>
      </c>
      <c r="AJ50" s="208"/>
    </row>
    <row r="51" spans="2:36" x14ac:dyDescent="0.35">
      <c r="B51" s="23"/>
      <c r="C51" s="24"/>
      <c r="D51" s="35" t="s">
        <v>16</v>
      </c>
      <c r="E51" s="124" t="s">
        <v>98</v>
      </c>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5"/>
      <c r="AI51" s="98"/>
      <c r="AJ51" s="208"/>
    </row>
    <row r="52" spans="2:36" x14ac:dyDescent="0.35">
      <c r="B52" s="23"/>
      <c r="C52" s="24"/>
      <c r="D52" s="35"/>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c r="AI52" s="98"/>
      <c r="AJ52" s="208"/>
    </row>
    <row r="53" spans="2:36" x14ac:dyDescent="0.35">
      <c r="B53" s="23"/>
      <c r="C53" s="24"/>
      <c r="D53" s="35"/>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5"/>
      <c r="AI53" s="98"/>
      <c r="AJ53" s="208"/>
    </row>
    <row r="54" spans="2:36" x14ac:dyDescent="0.35">
      <c r="B54" s="29"/>
      <c r="C54" s="19"/>
      <c r="D54" s="37" t="s">
        <v>16</v>
      </c>
      <c r="E54" s="92" t="s">
        <v>99</v>
      </c>
      <c r="F54" s="92"/>
      <c r="G54" s="92"/>
      <c r="H54" s="92"/>
      <c r="I54" s="92"/>
      <c r="J54" s="92"/>
      <c r="K54" s="92"/>
      <c r="L54" s="92"/>
      <c r="M54" s="92"/>
      <c r="N54" s="92"/>
      <c r="O54" s="92"/>
      <c r="P54" s="92"/>
      <c r="Q54" s="92"/>
      <c r="R54" s="92"/>
      <c r="S54" s="92"/>
      <c r="T54" s="92"/>
      <c r="U54" s="92"/>
      <c r="V54" s="92"/>
      <c r="W54" s="92"/>
      <c r="X54" s="92"/>
      <c r="Y54" s="92"/>
      <c r="Z54" s="92"/>
      <c r="AA54" s="92"/>
      <c r="AB54" s="94"/>
      <c r="AC54" s="94"/>
      <c r="AD54" s="94"/>
      <c r="AE54" s="94"/>
      <c r="AF54" s="94"/>
      <c r="AG54" s="94"/>
      <c r="AH54" s="95"/>
      <c r="AI54" s="98"/>
      <c r="AJ54" s="208"/>
    </row>
    <row r="55" spans="2:36" x14ac:dyDescent="0.35">
      <c r="B55" s="33"/>
      <c r="C55" s="22" t="s">
        <v>31</v>
      </c>
      <c r="D55" s="96" t="s">
        <v>254</v>
      </c>
      <c r="E55" s="96"/>
      <c r="F55" s="96"/>
      <c r="G55" s="96"/>
      <c r="H55" s="96"/>
      <c r="I55" s="96"/>
      <c r="J55" s="96"/>
      <c r="K55" s="96"/>
      <c r="L55" s="96"/>
      <c r="M55" s="96"/>
      <c r="N55" s="96"/>
      <c r="O55" s="96"/>
      <c r="P55" s="96"/>
      <c r="Q55" s="96"/>
      <c r="R55" s="96"/>
      <c r="S55" s="96"/>
      <c r="T55" s="96"/>
      <c r="U55" s="96"/>
      <c r="V55" s="96"/>
      <c r="W55" s="96"/>
      <c r="X55" s="96"/>
      <c r="Y55" s="96"/>
      <c r="Z55" s="96"/>
      <c r="AA55" s="97"/>
      <c r="AB55" s="109" t="s">
        <v>146</v>
      </c>
      <c r="AC55" s="110"/>
      <c r="AD55" s="110"/>
      <c r="AE55" s="110"/>
      <c r="AF55" s="110"/>
      <c r="AG55" s="110"/>
      <c r="AH55" s="111"/>
      <c r="AI55" s="98" t="s">
        <v>135</v>
      </c>
      <c r="AJ55" s="209">
        <f>ROUND(IF(ISBLANK(AB56),0,VLOOKUP(AB56,'Formula C Tables'!B56:AE60,16,TRUE)),0)</f>
        <v>0</v>
      </c>
    </row>
    <row r="56" spans="2:36" x14ac:dyDescent="0.35">
      <c r="B56" s="29"/>
      <c r="C56" s="19"/>
      <c r="D56" s="37" t="s">
        <v>16</v>
      </c>
      <c r="E56" s="92" t="s">
        <v>255</v>
      </c>
      <c r="F56" s="92"/>
      <c r="G56" s="92"/>
      <c r="H56" s="92"/>
      <c r="I56" s="92"/>
      <c r="J56" s="92"/>
      <c r="K56" s="92"/>
      <c r="L56" s="92"/>
      <c r="M56" s="92"/>
      <c r="N56" s="92"/>
      <c r="O56" s="92"/>
      <c r="P56" s="92"/>
      <c r="Q56" s="92"/>
      <c r="R56" s="92"/>
      <c r="S56" s="92"/>
      <c r="T56" s="92"/>
      <c r="U56" s="92"/>
      <c r="V56" s="92"/>
      <c r="W56" s="92"/>
      <c r="X56" s="92"/>
      <c r="Y56" s="92"/>
      <c r="Z56" s="92"/>
      <c r="AA56" s="93"/>
      <c r="AB56" s="227"/>
      <c r="AC56" s="228"/>
      <c r="AD56" s="228"/>
      <c r="AE56" s="228"/>
      <c r="AF56" s="228"/>
      <c r="AG56" s="228"/>
      <c r="AH56" s="229"/>
      <c r="AI56" s="98"/>
      <c r="AJ56" s="209"/>
    </row>
    <row r="57" spans="2:36" x14ac:dyDescent="0.35">
      <c r="B57" s="31"/>
      <c r="C57" s="32" t="s">
        <v>32</v>
      </c>
      <c r="D57" s="86" t="s">
        <v>256</v>
      </c>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7"/>
      <c r="AI57" s="28" t="s">
        <v>136</v>
      </c>
      <c r="AJ57" s="44">
        <f>ROUND(SUM(AJ48:AJ56),0)</f>
        <v>0</v>
      </c>
    </row>
    <row r="58" spans="2:36" x14ac:dyDescent="0.35">
      <c r="B58" s="33"/>
      <c r="C58" s="22" t="s">
        <v>33</v>
      </c>
      <c r="D58" s="96" t="s">
        <v>257</v>
      </c>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7"/>
      <c r="AI58" s="28"/>
      <c r="AJ58" s="44">
        <v>0</v>
      </c>
    </row>
    <row r="59" spans="2:36" x14ac:dyDescent="0.35">
      <c r="B59" s="33"/>
      <c r="C59" s="22" t="s">
        <v>34</v>
      </c>
      <c r="D59" s="96" t="s">
        <v>217</v>
      </c>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7"/>
      <c r="AI59" s="210" t="s">
        <v>136</v>
      </c>
      <c r="AJ59" s="213">
        <f>ROUND(AJ57-AJ58,0)</f>
        <v>0</v>
      </c>
    </row>
    <row r="60" spans="2:36" x14ac:dyDescent="0.35">
      <c r="B60" s="29"/>
      <c r="C60" s="19"/>
      <c r="D60" s="37" t="s">
        <v>16</v>
      </c>
      <c r="E60" s="92" t="s">
        <v>258</v>
      </c>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3"/>
      <c r="AI60" s="212"/>
      <c r="AJ60" s="215"/>
    </row>
    <row r="61" spans="2:36" x14ac:dyDescent="0.35">
      <c r="B61" s="29"/>
      <c r="C61" s="19" t="s">
        <v>35</v>
      </c>
      <c r="D61" s="92" t="s">
        <v>259</v>
      </c>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3"/>
      <c r="AI61" s="28" t="s">
        <v>138</v>
      </c>
      <c r="AJ61" s="38">
        <v>7.0000000000000007E-2</v>
      </c>
    </row>
    <row r="62" spans="2:36" x14ac:dyDescent="0.35">
      <c r="B62" s="33"/>
      <c r="C62" s="22" t="s">
        <v>40</v>
      </c>
      <c r="D62" s="96" t="s">
        <v>131</v>
      </c>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7"/>
      <c r="AI62" s="98" t="s">
        <v>136</v>
      </c>
      <c r="AJ62" s="209">
        <f>ROUND(IF(AJ59*AJ61&gt;0,AJ59*AJ61,0),0)</f>
        <v>0</v>
      </c>
    </row>
    <row r="63" spans="2:36" x14ac:dyDescent="0.35">
      <c r="B63" s="23"/>
      <c r="C63" s="24"/>
      <c r="D63" s="35" t="s">
        <v>16</v>
      </c>
      <c r="E63" s="94" t="s">
        <v>260</v>
      </c>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5"/>
      <c r="AI63" s="98"/>
      <c r="AJ63" s="209"/>
    </row>
    <row r="64" spans="2:36" x14ac:dyDescent="0.35">
      <c r="B64" s="29"/>
      <c r="C64" s="19"/>
      <c r="D64" s="37" t="s">
        <v>16</v>
      </c>
      <c r="E64" s="92" t="s">
        <v>99</v>
      </c>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3"/>
      <c r="AI64" s="98"/>
      <c r="AJ64" s="209"/>
    </row>
    <row r="65" spans="2:36" x14ac:dyDescent="0.3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row>
    <row r="66" spans="2:36" ht="18.5" x14ac:dyDescent="0.35">
      <c r="B66" s="99" t="s">
        <v>66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1"/>
    </row>
    <row r="67" spans="2:36" x14ac:dyDescent="0.35">
      <c r="B67" s="223" t="s">
        <v>261</v>
      </c>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7"/>
      <c r="AI67" s="224" t="s">
        <v>135</v>
      </c>
      <c r="AJ67" s="213">
        <f>ROUND(AJ44,0)</f>
        <v>0</v>
      </c>
    </row>
    <row r="68" spans="2:36" x14ac:dyDescent="0.35">
      <c r="B68" s="29"/>
      <c r="C68" s="37" t="s">
        <v>16</v>
      </c>
      <c r="D68" s="92" t="s">
        <v>82</v>
      </c>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3"/>
      <c r="AI68" s="225"/>
      <c r="AJ68" s="215"/>
    </row>
    <row r="69" spans="2:36" x14ac:dyDescent="0.35">
      <c r="B69" s="226" t="s">
        <v>262</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3"/>
      <c r="AI69" s="28" t="s">
        <v>135</v>
      </c>
      <c r="AJ69" s="45">
        <f>ROUND(AJ62,0)</f>
        <v>0</v>
      </c>
    </row>
    <row r="70" spans="2:36" x14ac:dyDescent="0.35">
      <c r="B70" s="23"/>
      <c r="C70" s="24" t="s">
        <v>42</v>
      </c>
      <c r="D70" s="96" t="s">
        <v>263</v>
      </c>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7"/>
      <c r="AI70" s="210" t="s">
        <v>136</v>
      </c>
      <c r="AJ70" s="213">
        <f>ROUND(AJ44+AJ62,0)</f>
        <v>0</v>
      </c>
    </row>
    <row r="71" spans="2:36" x14ac:dyDescent="0.35">
      <c r="B71" s="23"/>
      <c r="C71" s="24"/>
      <c r="D71" s="35" t="s">
        <v>16</v>
      </c>
      <c r="E71" s="94" t="s">
        <v>82</v>
      </c>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5"/>
      <c r="AI71" s="212"/>
      <c r="AJ71" s="215"/>
    </row>
    <row r="72" spans="2:36" x14ac:dyDescent="0.35">
      <c r="B72" s="23"/>
      <c r="C72" s="24" t="s">
        <v>45</v>
      </c>
      <c r="D72" s="92" t="s">
        <v>264</v>
      </c>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3"/>
      <c r="AI72" s="28" t="s">
        <v>136</v>
      </c>
      <c r="AJ72" s="45">
        <f>ROUND(VLOOKUP(AJ70,'Formula C Tables'!B92:AE98,16,TRUE),0)</f>
        <v>0</v>
      </c>
    </row>
    <row r="73" spans="2:36" x14ac:dyDescent="0.35">
      <c r="B73" s="33"/>
      <c r="C73" s="22" t="s">
        <v>47</v>
      </c>
      <c r="D73" s="96" t="s">
        <v>66</v>
      </c>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7"/>
      <c r="AI73" s="98" t="s">
        <v>136</v>
      </c>
      <c r="AJ73" s="222">
        <f>ROUND(IF(AJ72&lt;-1500,-1500,AJ72),0)</f>
        <v>0</v>
      </c>
    </row>
    <row r="74" spans="2:36" x14ac:dyDescent="0.35">
      <c r="B74" s="23"/>
      <c r="C74" s="24"/>
      <c r="D74" s="35" t="s">
        <v>16</v>
      </c>
      <c r="E74" s="24" t="s">
        <v>265</v>
      </c>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6"/>
      <c r="AI74" s="98"/>
      <c r="AJ74" s="222"/>
    </row>
    <row r="75" spans="2:36" x14ac:dyDescent="0.35">
      <c r="B75" s="23"/>
      <c r="C75" s="24"/>
      <c r="D75" s="35" t="s">
        <v>16</v>
      </c>
      <c r="E75" s="94" t="s">
        <v>266</v>
      </c>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5"/>
      <c r="AI75" s="98"/>
      <c r="AJ75" s="222"/>
    </row>
    <row r="76" spans="2:36" x14ac:dyDescent="0.35">
      <c r="B76" s="29"/>
      <c r="C76" s="19"/>
      <c r="D76" s="37" t="s">
        <v>16</v>
      </c>
      <c r="E76" s="92" t="s">
        <v>267</v>
      </c>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3"/>
      <c r="AI76" s="98"/>
      <c r="AJ76" s="222"/>
    </row>
    <row r="80" spans="2:36" x14ac:dyDescent="0.35">
      <c r="AI80" s="2"/>
    </row>
  </sheetData>
  <sheetProtection algorithmName="SHA-512" hashValue="gP3aTgefbsq5TW/Tsdn25e/nOSMGuHFsPFyGKWadmDI6VR/lwYRW0AKLEntuTwRPf7E4ACsK4lwu/gGsuNkbrg==" saltValue="ppm7Gl8WagvoBYHUCKWytw==" spinCount="100000" sheet="1" objects="1" scenarios="1"/>
  <mergeCells count="117">
    <mergeCell ref="AK47:BJ48"/>
    <mergeCell ref="D57:AH57"/>
    <mergeCell ref="D58:AH58"/>
    <mergeCell ref="D59:AH59"/>
    <mergeCell ref="AI59:AI60"/>
    <mergeCell ref="AJ59:AJ60"/>
    <mergeCell ref="E60:AH60"/>
    <mergeCell ref="D61:AH61"/>
    <mergeCell ref="D62:AH62"/>
    <mergeCell ref="AI62:AI64"/>
    <mergeCell ref="D50:AH50"/>
    <mergeCell ref="AI50:AI54"/>
    <mergeCell ref="AJ50:AJ54"/>
    <mergeCell ref="E51:AH53"/>
    <mergeCell ref="E54:AH54"/>
    <mergeCell ref="D55:AA55"/>
    <mergeCell ref="AB55:AH55"/>
    <mergeCell ref="AI55:AI56"/>
    <mergeCell ref="AJ55:AJ56"/>
    <mergeCell ref="E56:AA56"/>
    <mergeCell ref="AB56:AH56"/>
    <mergeCell ref="B69:AH69"/>
    <mergeCell ref="B65:AJ65"/>
    <mergeCell ref="B66:AJ66"/>
    <mergeCell ref="B67:AH67"/>
    <mergeCell ref="AI67:AI68"/>
    <mergeCell ref="AJ67:AJ68"/>
    <mergeCell ref="D68:AH68"/>
    <mergeCell ref="AJ62:AJ64"/>
    <mergeCell ref="E63:AH63"/>
    <mergeCell ref="E64:AH64"/>
    <mergeCell ref="AJ70:AJ71"/>
    <mergeCell ref="AI70:AI71"/>
    <mergeCell ref="D72:AH72"/>
    <mergeCell ref="E71:AH71"/>
    <mergeCell ref="D70:AH70"/>
    <mergeCell ref="D73:AH73"/>
    <mergeCell ref="AI73:AI76"/>
    <mergeCell ref="AJ73:AJ76"/>
    <mergeCell ref="E75:AH75"/>
    <mergeCell ref="E76:AH76"/>
    <mergeCell ref="B46:AJ46"/>
    <mergeCell ref="B47:AJ47"/>
    <mergeCell ref="D48:AH48"/>
    <mergeCell ref="D49:AH49"/>
    <mergeCell ref="D40:AH40"/>
    <mergeCell ref="B41:AJ41"/>
    <mergeCell ref="B42:AH42"/>
    <mergeCell ref="B43:AH43"/>
    <mergeCell ref="D44:AH44"/>
    <mergeCell ref="AI44:AI45"/>
    <mergeCell ref="AJ44:AJ45"/>
    <mergeCell ref="E45:AH45"/>
    <mergeCell ref="AJ33:AJ39"/>
    <mergeCell ref="E34:AH34"/>
    <mergeCell ref="E37:AH37"/>
    <mergeCell ref="F38:AH38"/>
    <mergeCell ref="F39:AH39"/>
    <mergeCell ref="F35:AH35"/>
    <mergeCell ref="F36:AH36"/>
    <mergeCell ref="AC32:AH32"/>
    <mergeCell ref="D33:AH33"/>
    <mergeCell ref="AI33:AI39"/>
    <mergeCell ref="W32:AB32"/>
    <mergeCell ref="W30:AB31"/>
    <mergeCell ref="E32:V32"/>
    <mergeCell ref="E31:V31"/>
    <mergeCell ref="D30:V30"/>
    <mergeCell ref="AC30:AH31"/>
    <mergeCell ref="AI30:AI32"/>
    <mergeCell ref="AJ30:AJ32"/>
    <mergeCell ref="B17:AJ17"/>
    <mergeCell ref="E18:AH18"/>
    <mergeCell ref="E19:AH19"/>
    <mergeCell ref="E20:AH20"/>
    <mergeCell ref="D21:AH21"/>
    <mergeCell ref="D22:AH22"/>
    <mergeCell ref="AI22:AI24"/>
    <mergeCell ref="AJ22:AJ24"/>
    <mergeCell ref="E23:AH23"/>
    <mergeCell ref="E24:AH24"/>
    <mergeCell ref="B25:AJ25"/>
    <mergeCell ref="D26:AH26"/>
    <mergeCell ref="D27:AH27"/>
    <mergeCell ref="E28:AH28"/>
    <mergeCell ref="E29:AH29"/>
    <mergeCell ref="D16:AH16"/>
    <mergeCell ref="B2:AJ2"/>
    <mergeCell ref="B3:AJ3"/>
    <mergeCell ref="B4:AJ4"/>
    <mergeCell ref="B5:AJ5"/>
    <mergeCell ref="B6:AJ6"/>
    <mergeCell ref="E11:AH11"/>
    <mergeCell ref="E12:AH12"/>
    <mergeCell ref="E13:AH13"/>
    <mergeCell ref="E14:AH14"/>
    <mergeCell ref="E15:AH15"/>
    <mergeCell ref="AI7:AI8"/>
    <mergeCell ref="AA7:AH7"/>
    <mergeCell ref="AJ7:AJ10"/>
    <mergeCell ref="AA10:AH10"/>
    <mergeCell ref="AA9:AH9"/>
    <mergeCell ref="S10:Z10"/>
    <mergeCell ref="S9:Z9"/>
    <mergeCell ref="F9:R10"/>
    <mergeCell ref="F8:Z8"/>
    <mergeCell ref="E7:Z7"/>
    <mergeCell ref="AA8:AH8"/>
    <mergeCell ref="AK6:BJ6"/>
    <mergeCell ref="AK7:BJ10"/>
    <mergeCell ref="AK11:BJ11"/>
    <mergeCell ref="AK12:BJ12"/>
    <mergeCell ref="AK13:BJ13"/>
    <mergeCell ref="AK14:BJ14"/>
    <mergeCell ref="AK15:BJ15"/>
    <mergeCell ref="AK19:BJ19"/>
    <mergeCell ref="AK26:BJ26"/>
  </mergeCells>
  <conditionalFormatting sqref="AJ48:AJ54 AB56:AH56">
    <cfRule type="expression" dxfId="0" priority="1">
      <formula>AND($AJ$7&gt;0,$AJ$7&lt;60000)</formula>
    </cfRule>
  </conditionalFormatting>
  <pageMargins left="0.7" right="0.7" top="0.75" bottom="0.75" header="0.3" footer="0.3"/>
  <pageSetup scale="64" fitToHeight="2" orientation="portrait" r:id="rId1"/>
  <ignoredErrors>
    <ignoredError sqref="C16 C21:C22 F36 F39 C26:C40 C44 C48:C62 C70:C7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B8C00BAF-A7C7-45D2-BB32-B762A2A485B8}">
          <x14:formula1>
            <xm:f>'Dropdown Menus'!$A$1:$A$5</xm:f>
          </x14:formula1>
          <xm:sqref>AA8:AH8</xm:sqref>
        </x14:dataValidation>
        <x14:dataValidation type="list" allowBlank="1" showInputMessage="1" showErrorMessage="1" xr:uid="{64944A81-94FB-47F6-AEBB-6194619AA786}">
          <x14:formula1>
            <xm:f>'Dropdown Menus'!$A$10:$A$11</xm:f>
          </x14:formula1>
          <xm:sqref>AC32:AH32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2FDB-8732-46AC-887A-EA1AA68DE504}">
  <sheetPr>
    <tabColor theme="7" tint="0.79998168889431442"/>
  </sheetPr>
  <dimension ref="B2:AG98"/>
  <sheetViews>
    <sheetView showGridLines="0" showRowColHeaders="0" workbookViewId="0"/>
  </sheetViews>
  <sheetFormatPr defaultColWidth="3.453125" defaultRowHeight="14.5" x14ac:dyDescent="0.35"/>
  <sheetData>
    <row r="2" spans="2:31" x14ac:dyDescent="0.35">
      <c r="B2" s="170" t="s">
        <v>268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row>
    <row r="3" spans="2:31" ht="14.4" customHeight="1" x14ac:dyDescent="0.35">
      <c r="B3" s="153" t="s">
        <v>149</v>
      </c>
      <c r="C3" s="153"/>
      <c r="D3" s="153"/>
      <c r="E3" s="153"/>
      <c r="F3" s="153"/>
      <c r="G3" s="153"/>
      <c r="H3" s="153"/>
      <c r="I3" s="153"/>
      <c r="J3" s="182" t="s">
        <v>150</v>
      </c>
      <c r="K3" s="183"/>
      <c r="L3" s="183"/>
      <c r="M3" s="183"/>
      <c r="N3" s="183"/>
      <c r="O3" s="183"/>
      <c r="P3" s="183"/>
      <c r="Q3" s="183"/>
      <c r="R3" s="183"/>
      <c r="S3" s="183"/>
      <c r="T3" s="183"/>
      <c r="U3" s="183"/>
      <c r="V3" s="183"/>
      <c r="W3" s="183"/>
      <c r="X3" s="183"/>
      <c r="Y3" s="183"/>
      <c r="Z3" s="183"/>
      <c r="AA3" s="183"/>
      <c r="AB3" s="183"/>
      <c r="AC3" s="183"/>
      <c r="AD3" s="183"/>
      <c r="AE3" s="184"/>
    </row>
    <row r="4" spans="2:31" ht="14.4" customHeight="1" x14ac:dyDescent="0.35">
      <c r="B4" s="153"/>
      <c r="C4" s="153"/>
      <c r="D4" s="153"/>
      <c r="E4" s="153"/>
      <c r="F4" s="153"/>
      <c r="G4" s="153"/>
      <c r="H4" s="153"/>
      <c r="I4" s="153"/>
      <c r="J4" s="185"/>
      <c r="K4" s="186"/>
      <c r="L4" s="186"/>
      <c r="M4" s="186"/>
      <c r="N4" s="186"/>
      <c r="O4" s="186"/>
      <c r="P4" s="186"/>
      <c r="Q4" s="186"/>
      <c r="R4" s="186"/>
      <c r="S4" s="186"/>
      <c r="T4" s="186"/>
      <c r="U4" s="186"/>
      <c r="V4" s="186"/>
      <c r="W4" s="186"/>
      <c r="X4" s="186"/>
      <c r="Y4" s="186"/>
      <c r="Z4" s="186"/>
      <c r="AA4" s="186"/>
      <c r="AB4" s="186"/>
      <c r="AC4" s="186"/>
      <c r="AD4" s="186"/>
      <c r="AE4" s="187"/>
    </row>
    <row r="5" spans="2:31" x14ac:dyDescent="0.35">
      <c r="B5" s="191" t="s">
        <v>151</v>
      </c>
      <c r="C5" s="192"/>
      <c r="D5" s="192"/>
      <c r="E5" s="192"/>
      <c r="F5" s="192"/>
      <c r="G5" s="192"/>
      <c r="H5" s="192"/>
      <c r="I5" s="193"/>
      <c r="J5" s="180" t="s">
        <v>224</v>
      </c>
      <c r="K5" s="150"/>
      <c r="L5" s="150"/>
      <c r="M5" s="150"/>
      <c r="N5" s="150"/>
      <c r="O5" s="150"/>
      <c r="P5" s="150"/>
      <c r="Q5" s="150"/>
      <c r="R5" s="150"/>
      <c r="S5" s="150"/>
      <c r="T5" s="150"/>
      <c r="U5" s="150"/>
      <c r="V5" s="150"/>
      <c r="W5" s="150"/>
      <c r="X5" s="150"/>
      <c r="Y5" s="150"/>
      <c r="Z5" s="150"/>
      <c r="AA5" s="150"/>
      <c r="AB5" s="150"/>
      <c r="AC5" s="150"/>
      <c r="AD5" s="150"/>
      <c r="AE5" s="181"/>
    </row>
    <row r="6" spans="2:31" x14ac:dyDescent="0.35">
      <c r="B6" s="194"/>
      <c r="C6" s="195"/>
      <c r="D6" s="195"/>
      <c r="E6" s="195"/>
      <c r="F6" s="195"/>
      <c r="G6" s="195"/>
      <c r="H6" s="195"/>
      <c r="I6" s="196"/>
      <c r="J6" s="6" t="s">
        <v>16</v>
      </c>
      <c r="K6" s="149" t="s">
        <v>223</v>
      </c>
      <c r="L6" s="149"/>
      <c r="M6" s="149"/>
      <c r="N6" s="149"/>
      <c r="O6" s="149"/>
      <c r="P6" s="149"/>
      <c r="Q6" s="149"/>
      <c r="R6" s="149"/>
      <c r="S6" s="149"/>
      <c r="T6" s="149"/>
      <c r="U6" s="149"/>
      <c r="V6" s="149"/>
      <c r="W6" s="149"/>
      <c r="X6" s="149"/>
      <c r="Y6" s="149"/>
      <c r="Z6" s="149"/>
      <c r="AA6" s="149"/>
      <c r="AB6" s="149"/>
      <c r="AC6" s="149"/>
      <c r="AD6" s="149"/>
      <c r="AE6" s="178"/>
    </row>
    <row r="7" spans="2:31" x14ac:dyDescent="0.35">
      <c r="B7" s="194"/>
      <c r="C7" s="195"/>
      <c r="D7" s="195"/>
      <c r="E7" s="195"/>
      <c r="F7" s="195"/>
      <c r="G7" s="195"/>
      <c r="H7" s="195"/>
      <c r="I7" s="196"/>
      <c r="J7" s="6" t="s">
        <v>16</v>
      </c>
      <c r="K7" s="149" t="s">
        <v>222</v>
      </c>
      <c r="L7" s="149"/>
      <c r="M7" s="149"/>
      <c r="N7" s="149"/>
      <c r="O7" s="149"/>
      <c r="P7" s="149"/>
      <c r="Q7" s="149"/>
      <c r="R7" s="149"/>
      <c r="S7" s="149"/>
      <c r="T7" s="149"/>
      <c r="U7" s="149"/>
      <c r="V7" s="149"/>
      <c r="W7" s="149"/>
      <c r="X7" s="149"/>
      <c r="Y7" s="149"/>
      <c r="Z7" s="149"/>
      <c r="AA7" s="149"/>
      <c r="AB7" s="149"/>
      <c r="AC7" s="149"/>
      <c r="AD7" s="149"/>
      <c r="AE7" s="178"/>
    </row>
    <row r="8" spans="2:31" x14ac:dyDescent="0.35">
      <c r="B8" s="194"/>
      <c r="C8" s="195"/>
      <c r="D8" s="195"/>
      <c r="E8" s="195"/>
      <c r="F8" s="195"/>
      <c r="G8" s="195"/>
      <c r="H8" s="195"/>
      <c r="I8" s="196"/>
      <c r="J8" s="179" t="s">
        <v>225</v>
      </c>
      <c r="K8" s="149"/>
      <c r="L8" s="149"/>
      <c r="M8" s="149"/>
      <c r="N8" s="149"/>
      <c r="O8" s="149"/>
      <c r="P8" s="149"/>
      <c r="Q8" s="149"/>
      <c r="R8" s="149"/>
      <c r="S8" s="149"/>
      <c r="T8" s="149"/>
      <c r="U8" s="149"/>
      <c r="V8" s="149"/>
      <c r="W8" s="149"/>
      <c r="X8" s="149"/>
      <c r="Y8" s="149"/>
      <c r="Z8" s="149"/>
      <c r="AA8" s="149"/>
      <c r="AB8" s="149"/>
      <c r="AC8" s="149"/>
      <c r="AD8" s="149"/>
      <c r="AE8" s="178"/>
    </row>
    <row r="9" spans="2:31" x14ac:dyDescent="0.35">
      <c r="B9" s="194"/>
      <c r="C9" s="195"/>
      <c r="D9" s="195"/>
      <c r="E9" s="195"/>
      <c r="F9" s="195"/>
      <c r="G9" s="195"/>
      <c r="H9" s="195"/>
      <c r="I9" s="196"/>
      <c r="J9" s="6" t="s">
        <v>16</v>
      </c>
      <c r="K9" s="234" t="s">
        <v>292</v>
      </c>
      <c r="L9" s="234"/>
      <c r="M9" s="234"/>
      <c r="N9" s="234"/>
      <c r="O9" s="234"/>
      <c r="P9" s="234"/>
      <c r="Q9" s="234"/>
      <c r="R9" s="234"/>
      <c r="S9" s="234"/>
      <c r="T9" s="234"/>
      <c r="U9" s="234"/>
      <c r="V9" s="234"/>
      <c r="W9" s="234"/>
      <c r="X9" s="234"/>
      <c r="Y9" s="234"/>
      <c r="Z9" s="234"/>
      <c r="AA9" s="234"/>
      <c r="AB9" s="234"/>
      <c r="AC9" s="234"/>
      <c r="AD9" s="234"/>
      <c r="AE9" s="235"/>
    </row>
    <row r="10" spans="2:31" x14ac:dyDescent="0.35">
      <c r="B10" s="194"/>
      <c r="C10" s="195"/>
      <c r="D10" s="195"/>
      <c r="E10" s="195"/>
      <c r="F10" s="195"/>
      <c r="G10" s="195"/>
      <c r="H10" s="195"/>
      <c r="I10" s="196"/>
      <c r="J10" s="6"/>
      <c r="K10" s="234"/>
      <c r="L10" s="234"/>
      <c r="M10" s="234"/>
      <c r="N10" s="234"/>
      <c r="O10" s="234"/>
      <c r="P10" s="234"/>
      <c r="Q10" s="234"/>
      <c r="R10" s="234"/>
      <c r="S10" s="234"/>
      <c r="T10" s="234"/>
      <c r="U10" s="234"/>
      <c r="V10" s="234"/>
      <c r="W10" s="234"/>
      <c r="X10" s="234"/>
      <c r="Y10" s="234"/>
      <c r="Z10" s="234"/>
      <c r="AA10" s="234"/>
      <c r="AB10" s="234"/>
      <c r="AC10" s="234"/>
      <c r="AD10" s="234"/>
      <c r="AE10" s="235"/>
    </row>
    <row r="11" spans="2:31" x14ac:dyDescent="0.35">
      <c r="B11" s="194"/>
      <c r="C11" s="195"/>
      <c r="D11" s="195"/>
      <c r="E11" s="195"/>
      <c r="F11" s="195"/>
      <c r="G11" s="195"/>
      <c r="H11" s="195"/>
      <c r="I11" s="196"/>
      <c r="J11" s="6" t="s">
        <v>16</v>
      </c>
      <c r="K11" s="234" t="s">
        <v>293</v>
      </c>
      <c r="L11" s="234"/>
      <c r="M11" s="234"/>
      <c r="N11" s="234"/>
      <c r="O11" s="234"/>
      <c r="P11" s="234"/>
      <c r="Q11" s="234"/>
      <c r="R11" s="234"/>
      <c r="S11" s="234"/>
      <c r="T11" s="234"/>
      <c r="U11" s="234"/>
      <c r="V11" s="234"/>
      <c r="W11" s="234"/>
      <c r="X11" s="234"/>
      <c r="Y11" s="234"/>
      <c r="Z11" s="234"/>
      <c r="AA11" s="234"/>
      <c r="AB11" s="234"/>
      <c r="AC11" s="234"/>
      <c r="AD11" s="234"/>
      <c r="AE11" s="235"/>
    </row>
    <row r="12" spans="2:31" x14ac:dyDescent="0.35">
      <c r="B12" s="194"/>
      <c r="C12" s="195"/>
      <c r="D12" s="195"/>
      <c r="E12" s="195"/>
      <c r="F12" s="195"/>
      <c r="G12" s="195"/>
      <c r="H12" s="195"/>
      <c r="I12" s="196"/>
      <c r="J12" s="6"/>
      <c r="K12" s="234"/>
      <c r="L12" s="234"/>
      <c r="M12" s="234"/>
      <c r="N12" s="234"/>
      <c r="O12" s="234"/>
      <c r="P12" s="234"/>
      <c r="Q12" s="234"/>
      <c r="R12" s="234"/>
      <c r="S12" s="234"/>
      <c r="T12" s="234"/>
      <c r="U12" s="234"/>
      <c r="V12" s="234"/>
      <c r="W12" s="234"/>
      <c r="X12" s="234"/>
      <c r="Y12" s="234"/>
      <c r="Z12" s="234"/>
      <c r="AA12" s="234"/>
      <c r="AB12" s="234"/>
      <c r="AC12" s="234"/>
      <c r="AD12" s="234"/>
      <c r="AE12" s="235"/>
    </row>
    <row r="13" spans="2:31" x14ac:dyDescent="0.35">
      <c r="B13" s="194"/>
      <c r="C13" s="195"/>
      <c r="D13" s="195"/>
      <c r="E13" s="195"/>
      <c r="F13" s="195"/>
      <c r="G13" s="195"/>
      <c r="H13" s="195"/>
      <c r="I13" s="196"/>
      <c r="J13" s="175" t="s">
        <v>226</v>
      </c>
      <c r="K13" s="176"/>
      <c r="L13" s="176"/>
      <c r="M13" s="176"/>
      <c r="N13" s="176"/>
      <c r="O13" s="176"/>
      <c r="P13" s="176"/>
      <c r="Q13" s="176"/>
      <c r="R13" s="176"/>
      <c r="S13" s="176"/>
      <c r="T13" s="176"/>
      <c r="U13" s="176"/>
      <c r="V13" s="176"/>
      <c r="W13" s="176"/>
      <c r="X13" s="176"/>
      <c r="Y13" s="176"/>
      <c r="Z13" s="176"/>
      <c r="AA13" s="176"/>
      <c r="AB13" s="176"/>
      <c r="AC13" s="176"/>
      <c r="AD13" s="176"/>
      <c r="AE13" s="177"/>
    </row>
    <row r="14" spans="2:31" x14ac:dyDescent="0.35">
      <c r="B14" s="194"/>
      <c r="C14" s="195"/>
      <c r="D14" s="195"/>
      <c r="E14" s="195"/>
      <c r="F14" s="195"/>
      <c r="G14" s="195"/>
      <c r="H14" s="195"/>
      <c r="I14" s="196"/>
      <c r="J14" s="6" t="s">
        <v>16</v>
      </c>
      <c r="K14" s="149" t="s">
        <v>227</v>
      </c>
      <c r="L14" s="149"/>
      <c r="M14" s="149"/>
      <c r="N14" s="149"/>
      <c r="O14" s="149"/>
      <c r="P14" s="149"/>
      <c r="Q14" s="149"/>
      <c r="R14" s="149"/>
      <c r="S14" s="149"/>
      <c r="T14" s="149"/>
      <c r="U14" s="149"/>
      <c r="V14" s="149"/>
      <c r="W14" s="149"/>
      <c r="X14" s="149"/>
      <c r="Y14" s="149"/>
      <c r="Z14" s="149"/>
      <c r="AA14" s="149"/>
      <c r="AB14" s="149"/>
      <c r="AC14" s="149"/>
      <c r="AD14" s="149"/>
      <c r="AE14" s="178"/>
    </row>
    <row r="15" spans="2:31" x14ac:dyDescent="0.35">
      <c r="B15" s="194"/>
      <c r="C15" s="195"/>
      <c r="D15" s="195"/>
      <c r="E15" s="195"/>
      <c r="F15" s="195"/>
      <c r="G15" s="195"/>
      <c r="H15" s="195"/>
      <c r="I15" s="196"/>
      <c r="J15" s="6" t="s">
        <v>16</v>
      </c>
      <c r="K15" s="149" t="s">
        <v>228</v>
      </c>
      <c r="L15" s="149"/>
      <c r="M15" s="149"/>
      <c r="N15" s="149"/>
      <c r="O15" s="149"/>
      <c r="P15" s="149"/>
      <c r="Q15" s="149"/>
      <c r="R15" s="149"/>
      <c r="S15" s="149"/>
      <c r="T15" s="149"/>
      <c r="U15" s="149"/>
      <c r="V15" s="149"/>
      <c r="W15" s="149"/>
      <c r="X15" s="149"/>
      <c r="Y15" s="149"/>
      <c r="Z15" s="149"/>
      <c r="AA15" s="149"/>
      <c r="AB15" s="149"/>
      <c r="AC15" s="149"/>
      <c r="AD15" s="149"/>
      <c r="AE15" s="178"/>
    </row>
    <row r="16" spans="2:31" x14ac:dyDescent="0.35">
      <c r="B16" s="194"/>
      <c r="C16" s="195"/>
      <c r="D16" s="195"/>
      <c r="E16" s="195"/>
      <c r="F16" s="195"/>
      <c r="G16" s="195"/>
      <c r="H16" s="195"/>
      <c r="I16" s="196"/>
      <c r="J16" s="6" t="s">
        <v>16</v>
      </c>
      <c r="K16" s="149" t="s">
        <v>229</v>
      </c>
      <c r="L16" s="149"/>
      <c r="M16" s="149"/>
      <c r="N16" s="149"/>
      <c r="O16" s="149"/>
      <c r="P16" s="149"/>
      <c r="Q16" s="149"/>
      <c r="R16" s="149"/>
      <c r="S16" s="149"/>
      <c r="T16" s="149"/>
      <c r="U16" s="149"/>
      <c r="V16" s="149"/>
      <c r="W16" s="149"/>
      <c r="X16" s="149"/>
      <c r="Y16" s="149"/>
      <c r="Z16" s="149"/>
      <c r="AA16" s="149"/>
      <c r="AB16" s="149"/>
      <c r="AC16" s="149"/>
      <c r="AD16" s="149"/>
      <c r="AE16" s="178"/>
    </row>
    <row r="17" spans="2:31" x14ac:dyDescent="0.35">
      <c r="B17" s="194"/>
      <c r="C17" s="195"/>
      <c r="D17" s="195"/>
      <c r="E17" s="195"/>
      <c r="F17" s="195"/>
      <c r="G17" s="195"/>
      <c r="H17" s="195"/>
      <c r="I17" s="196"/>
      <c r="J17" s="6" t="s">
        <v>16</v>
      </c>
      <c r="K17" s="149" t="s">
        <v>230</v>
      </c>
      <c r="L17" s="149"/>
      <c r="M17" s="149"/>
      <c r="N17" s="149"/>
      <c r="O17" s="149"/>
      <c r="P17" s="149"/>
      <c r="Q17" s="149"/>
      <c r="R17" s="149"/>
      <c r="S17" s="149"/>
      <c r="T17" s="149"/>
      <c r="U17" s="149"/>
      <c r="V17" s="149"/>
      <c r="W17" s="149"/>
      <c r="X17" s="149"/>
      <c r="Y17" s="149"/>
      <c r="Z17" s="149"/>
      <c r="AA17" s="149"/>
      <c r="AB17" s="149"/>
      <c r="AC17" s="149"/>
      <c r="AD17" s="149"/>
      <c r="AE17" s="178"/>
    </row>
    <row r="18" spans="2:31" ht="14.4" customHeight="1" x14ac:dyDescent="0.35">
      <c r="B18" s="236" t="s">
        <v>166</v>
      </c>
      <c r="C18" s="237"/>
      <c r="D18" s="237"/>
      <c r="E18" s="237"/>
      <c r="F18" s="237"/>
      <c r="G18" s="237"/>
      <c r="H18" s="237"/>
      <c r="I18" s="238"/>
      <c r="J18" s="13" t="s">
        <v>16</v>
      </c>
      <c r="K18" s="162" t="s">
        <v>231</v>
      </c>
      <c r="L18" s="162"/>
      <c r="M18" s="162"/>
      <c r="N18" s="162"/>
      <c r="O18" s="162"/>
      <c r="P18" s="162"/>
      <c r="Q18" s="162"/>
      <c r="R18" s="162"/>
      <c r="S18" s="162"/>
      <c r="T18" s="162"/>
      <c r="U18" s="162"/>
      <c r="V18" s="162"/>
      <c r="W18" s="162"/>
      <c r="X18" s="162"/>
      <c r="Y18" s="162"/>
      <c r="Z18" s="162"/>
      <c r="AA18" s="162"/>
      <c r="AB18" s="162"/>
      <c r="AC18" s="162"/>
      <c r="AD18" s="162"/>
      <c r="AE18" s="163"/>
    </row>
    <row r="19" spans="2:31" ht="14.4" customHeight="1" x14ac:dyDescent="0.35">
      <c r="B19" s="239"/>
      <c r="C19" s="240"/>
      <c r="D19" s="240"/>
      <c r="E19" s="240"/>
      <c r="F19" s="240"/>
      <c r="G19" s="240"/>
      <c r="H19" s="240"/>
      <c r="I19" s="241"/>
      <c r="J19" s="6"/>
      <c r="K19" s="165"/>
      <c r="L19" s="165"/>
      <c r="M19" s="165"/>
      <c r="N19" s="165"/>
      <c r="O19" s="165"/>
      <c r="P19" s="165"/>
      <c r="Q19" s="165"/>
      <c r="R19" s="165"/>
      <c r="S19" s="165"/>
      <c r="T19" s="165"/>
      <c r="U19" s="165"/>
      <c r="V19" s="165"/>
      <c r="W19" s="165"/>
      <c r="X19" s="165"/>
      <c r="Y19" s="165"/>
      <c r="Z19" s="165"/>
      <c r="AA19" s="165"/>
      <c r="AB19" s="165"/>
      <c r="AC19" s="165"/>
      <c r="AD19" s="165"/>
      <c r="AE19" s="166"/>
    </row>
    <row r="20" spans="2:31" x14ac:dyDescent="0.35">
      <c r="B20" s="239"/>
      <c r="C20" s="240"/>
      <c r="D20" s="240"/>
      <c r="E20" s="240"/>
      <c r="F20" s="240"/>
      <c r="G20" s="240"/>
      <c r="H20" s="240"/>
      <c r="I20" s="241"/>
      <c r="J20" s="9"/>
      <c r="K20" s="165"/>
      <c r="L20" s="165"/>
      <c r="M20" s="165"/>
      <c r="N20" s="165"/>
      <c r="O20" s="165"/>
      <c r="P20" s="165"/>
      <c r="Q20" s="165"/>
      <c r="R20" s="165"/>
      <c r="S20" s="165"/>
      <c r="T20" s="165"/>
      <c r="U20" s="165"/>
      <c r="V20" s="165"/>
      <c r="W20" s="165"/>
      <c r="X20" s="165"/>
      <c r="Y20" s="165"/>
      <c r="Z20" s="165"/>
      <c r="AA20" s="165"/>
      <c r="AB20" s="165"/>
      <c r="AC20" s="165"/>
      <c r="AD20" s="165"/>
      <c r="AE20" s="166"/>
    </row>
    <row r="21" spans="2:31" x14ac:dyDescent="0.35">
      <c r="B21" s="239"/>
      <c r="C21" s="240"/>
      <c r="D21" s="240"/>
      <c r="E21" s="240"/>
      <c r="F21" s="240"/>
      <c r="G21" s="240"/>
      <c r="H21" s="240"/>
      <c r="I21" s="241"/>
      <c r="J21" s="9"/>
      <c r="K21" s="165"/>
      <c r="L21" s="165"/>
      <c r="M21" s="165"/>
      <c r="N21" s="165"/>
      <c r="O21" s="165"/>
      <c r="P21" s="165"/>
      <c r="Q21" s="165"/>
      <c r="R21" s="165"/>
      <c r="S21" s="165"/>
      <c r="T21" s="165"/>
      <c r="U21" s="165"/>
      <c r="V21" s="165"/>
      <c r="W21" s="165"/>
      <c r="X21" s="165"/>
      <c r="Y21" s="165"/>
      <c r="Z21" s="165"/>
      <c r="AA21" s="165"/>
      <c r="AB21" s="165"/>
      <c r="AC21" s="165"/>
      <c r="AD21" s="165"/>
      <c r="AE21" s="166"/>
    </row>
    <row r="22" spans="2:31" ht="14.4" customHeight="1" x14ac:dyDescent="0.35">
      <c r="B22" s="239"/>
      <c r="C22" s="240"/>
      <c r="D22" s="240"/>
      <c r="E22" s="240"/>
      <c r="F22" s="240"/>
      <c r="G22" s="240"/>
      <c r="H22" s="240"/>
      <c r="I22" s="241"/>
      <c r="J22" s="6" t="s">
        <v>16</v>
      </c>
      <c r="K22" s="165" t="s">
        <v>232</v>
      </c>
      <c r="L22" s="165"/>
      <c r="M22" s="165"/>
      <c r="N22" s="165"/>
      <c r="O22" s="165"/>
      <c r="P22" s="165"/>
      <c r="Q22" s="165"/>
      <c r="R22" s="165"/>
      <c r="S22" s="165"/>
      <c r="T22" s="165"/>
      <c r="U22" s="165"/>
      <c r="V22" s="165"/>
      <c r="W22" s="165"/>
      <c r="X22" s="165"/>
      <c r="Y22" s="165"/>
      <c r="Z22" s="165"/>
      <c r="AA22" s="165"/>
      <c r="AB22" s="165"/>
      <c r="AC22" s="165"/>
      <c r="AD22" s="165"/>
      <c r="AE22" s="166"/>
    </row>
    <row r="23" spans="2:31" x14ac:dyDescent="0.35">
      <c r="B23" s="239"/>
      <c r="C23" s="240"/>
      <c r="D23" s="240"/>
      <c r="E23" s="240"/>
      <c r="F23" s="240"/>
      <c r="G23" s="240"/>
      <c r="H23" s="240"/>
      <c r="I23" s="241"/>
      <c r="J23" s="9"/>
      <c r="K23" s="165"/>
      <c r="L23" s="165"/>
      <c r="M23" s="165"/>
      <c r="N23" s="165"/>
      <c r="O23" s="165"/>
      <c r="P23" s="165"/>
      <c r="Q23" s="165"/>
      <c r="R23" s="165"/>
      <c r="S23" s="165"/>
      <c r="T23" s="165"/>
      <c r="U23" s="165"/>
      <c r="V23" s="165"/>
      <c r="W23" s="165"/>
      <c r="X23" s="165"/>
      <c r="Y23" s="165"/>
      <c r="Z23" s="165"/>
      <c r="AA23" s="165"/>
      <c r="AB23" s="165"/>
      <c r="AC23" s="165"/>
      <c r="AD23" s="165"/>
      <c r="AE23" s="166"/>
    </row>
    <row r="24" spans="2:31" x14ac:dyDescent="0.35">
      <c r="B24" s="239"/>
      <c r="C24" s="240"/>
      <c r="D24" s="240"/>
      <c r="E24" s="240"/>
      <c r="F24" s="240"/>
      <c r="G24" s="240"/>
      <c r="H24" s="240"/>
      <c r="I24" s="241"/>
      <c r="J24" s="9"/>
      <c r="K24" s="165"/>
      <c r="L24" s="165"/>
      <c r="M24" s="165"/>
      <c r="N24" s="165"/>
      <c r="O24" s="165"/>
      <c r="P24" s="165"/>
      <c r="Q24" s="165"/>
      <c r="R24" s="165"/>
      <c r="S24" s="165"/>
      <c r="T24" s="165"/>
      <c r="U24" s="165"/>
      <c r="V24" s="165"/>
      <c r="W24" s="165"/>
      <c r="X24" s="165"/>
      <c r="Y24" s="165"/>
      <c r="Z24" s="165"/>
      <c r="AA24" s="165"/>
      <c r="AB24" s="165"/>
      <c r="AC24" s="165"/>
      <c r="AD24" s="165"/>
      <c r="AE24" s="166"/>
    </row>
    <row r="25" spans="2:31" x14ac:dyDescent="0.35">
      <c r="B25" s="242"/>
      <c r="C25" s="243"/>
      <c r="D25" s="243"/>
      <c r="E25" s="243"/>
      <c r="F25" s="243"/>
      <c r="G25" s="243"/>
      <c r="H25" s="243"/>
      <c r="I25" s="244"/>
      <c r="J25" s="10"/>
      <c r="K25" s="168"/>
      <c r="L25" s="168"/>
      <c r="M25" s="168"/>
      <c r="N25" s="168"/>
      <c r="O25" s="168"/>
      <c r="P25" s="168"/>
      <c r="Q25" s="168"/>
      <c r="R25" s="168"/>
      <c r="S25" s="168"/>
      <c r="T25" s="168"/>
      <c r="U25" s="168"/>
      <c r="V25" s="168"/>
      <c r="W25" s="168"/>
      <c r="X25" s="168"/>
      <c r="Y25" s="168"/>
      <c r="Z25" s="168"/>
      <c r="AA25" s="168"/>
      <c r="AB25" s="168"/>
      <c r="AC25" s="168"/>
      <c r="AD25" s="168"/>
      <c r="AE25" s="169"/>
    </row>
    <row r="26" spans="2:31" ht="14.4" customHeight="1" x14ac:dyDescent="0.35">
      <c r="B26" s="14" t="s">
        <v>177</v>
      </c>
      <c r="C26" s="202" t="s">
        <v>294</v>
      </c>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row>
    <row r="27" spans="2:31" x14ac:dyDescent="0.35">
      <c r="B27" s="1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row>
    <row r="28" spans="2:31" x14ac:dyDescent="0.35">
      <c r="B28" s="1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row>
    <row r="29" spans="2:31" x14ac:dyDescent="0.35">
      <c r="B29" s="12"/>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row>
    <row r="30" spans="2:31" ht="14.4" customHeight="1" x14ac:dyDescent="0.35">
      <c r="B30" s="12"/>
      <c r="C30" s="203" t="s">
        <v>233</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row>
    <row r="31" spans="2:31" x14ac:dyDescent="0.35">
      <c r="B31" s="1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row>
    <row r="32" spans="2:31" x14ac:dyDescent="0.35">
      <c r="B32" s="12"/>
      <c r="C32" s="165" t="s">
        <v>234</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row>
    <row r="34" spans="2:33" s="2" customFormat="1" x14ac:dyDescent="0.35">
      <c r="B34" s="170" t="s">
        <v>269</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4"/>
      <c r="AG34" s="4"/>
    </row>
    <row r="35" spans="2:33" s="2" customFormat="1" x14ac:dyDescent="0.35">
      <c r="B35" s="153" t="s">
        <v>140</v>
      </c>
      <c r="C35" s="153"/>
      <c r="D35" s="153"/>
      <c r="E35" s="153"/>
      <c r="F35" s="153"/>
      <c r="G35" s="153"/>
      <c r="H35" s="153"/>
      <c r="I35" s="153"/>
      <c r="J35" s="153"/>
      <c r="K35" s="153"/>
      <c r="L35" s="153"/>
      <c r="M35" s="153"/>
      <c r="N35" s="153"/>
      <c r="O35" s="153"/>
      <c r="P35" s="153"/>
      <c r="Q35" s="153" t="s">
        <v>121</v>
      </c>
      <c r="R35" s="153"/>
      <c r="S35" s="153"/>
      <c r="T35" s="153"/>
      <c r="U35" s="153"/>
      <c r="V35" s="153"/>
      <c r="W35" s="153"/>
      <c r="X35" s="153"/>
      <c r="Y35" s="153"/>
      <c r="Z35" s="153"/>
      <c r="AA35" s="153"/>
      <c r="AB35" s="153"/>
      <c r="AC35" s="153"/>
      <c r="AD35" s="153"/>
      <c r="AE35" s="153"/>
      <c r="AF35" s="1"/>
      <c r="AG35" s="3"/>
    </row>
    <row r="36" spans="2:33" s="2" customFormat="1" ht="15.65" customHeight="1" x14ac:dyDescent="0.35">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
      <c r="AG36" s="3"/>
    </row>
    <row r="37" spans="2:33" s="2" customFormat="1" x14ac:dyDescent="0.35">
      <c r="B37" s="190">
        <v>3</v>
      </c>
      <c r="C37" s="188"/>
      <c r="D37" s="188"/>
      <c r="E37" s="188"/>
      <c r="F37" s="188"/>
      <c r="G37" s="188"/>
      <c r="H37" s="188"/>
      <c r="I37" s="188"/>
      <c r="J37" s="188"/>
      <c r="K37" s="188"/>
      <c r="L37" s="188"/>
      <c r="M37" s="188"/>
      <c r="N37" s="188"/>
      <c r="O37" s="188"/>
      <c r="P37" s="188"/>
      <c r="Q37" s="189">
        <v>54580</v>
      </c>
      <c r="R37" s="189"/>
      <c r="S37" s="189"/>
      <c r="T37" s="189"/>
      <c r="U37" s="189"/>
      <c r="V37" s="189"/>
      <c r="W37" s="189"/>
      <c r="X37" s="189"/>
      <c r="Y37" s="189"/>
      <c r="Z37" s="189"/>
      <c r="AA37" s="189"/>
      <c r="AB37" s="189"/>
      <c r="AC37" s="189"/>
      <c r="AD37" s="189"/>
      <c r="AE37" s="189"/>
      <c r="AF37" s="1"/>
      <c r="AG37" s="3"/>
    </row>
    <row r="38" spans="2:33" s="2" customFormat="1" x14ac:dyDescent="0.35">
      <c r="B38" s="190">
        <v>4</v>
      </c>
      <c r="C38" s="188"/>
      <c r="D38" s="188"/>
      <c r="E38" s="188"/>
      <c r="F38" s="188"/>
      <c r="G38" s="188"/>
      <c r="H38" s="188"/>
      <c r="I38" s="188"/>
      <c r="J38" s="188"/>
      <c r="K38" s="188"/>
      <c r="L38" s="188"/>
      <c r="M38" s="188"/>
      <c r="N38" s="188"/>
      <c r="O38" s="188"/>
      <c r="P38" s="188"/>
      <c r="Q38" s="189">
        <v>67400</v>
      </c>
      <c r="R38" s="189"/>
      <c r="S38" s="189"/>
      <c r="T38" s="189"/>
      <c r="U38" s="189"/>
      <c r="V38" s="189"/>
      <c r="W38" s="189"/>
      <c r="X38" s="189"/>
      <c r="Y38" s="189"/>
      <c r="Z38" s="189"/>
      <c r="AA38" s="189"/>
      <c r="AB38" s="189"/>
      <c r="AC38" s="189"/>
      <c r="AD38" s="189"/>
      <c r="AE38" s="189"/>
      <c r="AF38" s="1"/>
      <c r="AG38" s="3"/>
    </row>
    <row r="39" spans="2:33" s="2" customFormat="1" x14ac:dyDescent="0.35">
      <c r="B39" s="190">
        <v>5</v>
      </c>
      <c r="C39" s="188"/>
      <c r="D39" s="188"/>
      <c r="E39" s="188"/>
      <c r="F39" s="188"/>
      <c r="G39" s="188"/>
      <c r="H39" s="188"/>
      <c r="I39" s="188"/>
      <c r="J39" s="188"/>
      <c r="K39" s="188"/>
      <c r="L39" s="188"/>
      <c r="M39" s="188"/>
      <c r="N39" s="188"/>
      <c r="O39" s="188"/>
      <c r="P39" s="188"/>
      <c r="Q39" s="189">
        <v>79530</v>
      </c>
      <c r="R39" s="189"/>
      <c r="S39" s="189"/>
      <c r="T39" s="189"/>
      <c r="U39" s="189"/>
      <c r="V39" s="189"/>
      <c r="W39" s="189"/>
      <c r="X39" s="189"/>
      <c r="Y39" s="189"/>
      <c r="Z39" s="189"/>
      <c r="AA39" s="189"/>
      <c r="AB39" s="189"/>
      <c r="AC39" s="189"/>
      <c r="AD39" s="189"/>
      <c r="AE39" s="189"/>
      <c r="AF39" s="1"/>
      <c r="AG39" s="3"/>
    </row>
    <row r="40" spans="2:33" s="2" customFormat="1" x14ac:dyDescent="0.35">
      <c r="B40" s="190">
        <v>6</v>
      </c>
      <c r="C40" s="188"/>
      <c r="D40" s="188"/>
      <c r="E40" s="188"/>
      <c r="F40" s="188"/>
      <c r="G40" s="188"/>
      <c r="H40" s="188"/>
      <c r="I40" s="188"/>
      <c r="J40" s="188"/>
      <c r="K40" s="188"/>
      <c r="L40" s="188"/>
      <c r="M40" s="188"/>
      <c r="N40" s="188"/>
      <c r="O40" s="188"/>
      <c r="P40" s="188"/>
      <c r="Q40" s="189">
        <v>93010</v>
      </c>
      <c r="R40" s="189"/>
      <c r="S40" s="189"/>
      <c r="T40" s="189"/>
      <c r="U40" s="189"/>
      <c r="V40" s="189"/>
      <c r="W40" s="189"/>
      <c r="X40" s="189"/>
      <c r="Y40" s="189"/>
      <c r="Z40" s="189"/>
      <c r="AA40" s="189"/>
      <c r="AB40" s="189"/>
      <c r="AC40" s="189"/>
      <c r="AD40" s="189"/>
      <c r="AE40" s="189"/>
      <c r="AF40" s="1"/>
      <c r="AG40" s="3"/>
    </row>
    <row r="41" spans="2:33" s="2" customFormat="1" x14ac:dyDescent="0.35">
      <c r="B41" s="188">
        <f>'Formula C'!W32</f>
        <v>0</v>
      </c>
      <c r="C41" s="188"/>
      <c r="D41" s="188"/>
      <c r="E41" s="188"/>
      <c r="F41" s="188"/>
      <c r="G41" s="188"/>
      <c r="H41" s="188"/>
      <c r="I41" s="188"/>
      <c r="J41" s="188"/>
      <c r="K41" s="188"/>
      <c r="L41" s="188"/>
      <c r="M41" s="188"/>
      <c r="N41" s="188"/>
      <c r="O41" s="188"/>
      <c r="P41" s="188"/>
      <c r="Q41" s="189">
        <f>Q40+((B41-B40)*10510)</f>
        <v>29950</v>
      </c>
      <c r="R41" s="189"/>
      <c r="S41" s="189"/>
      <c r="T41" s="189"/>
      <c r="U41" s="189"/>
      <c r="V41" s="189"/>
      <c r="W41" s="189"/>
      <c r="X41" s="189"/>
      <c r="Y41" s="189"/>
      <c r="Z41" s="189"/>
      <c r="AA41" s="189"/>
      <c r="AB41" s="189"/>
      <c r="AC41" s="189"/>
      <c r="AD41" s="189"/>
      <c r="AE41" s="189"/>
      <c r="AF41" s="1"/>
      <c r="AG41" s="3"/>
    </row>
    <row r="43" spans="2:33" s="2" customFormat="1" x14ac:dyDescent="0.35">
      <c r="B43" s="170" t="s">
        <v>270</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4"/>
      <c r="AG43" s="4"/>
    </row>
    <row r="44" spans="2:33" s="2" customFormat="1" x14ac:dyDescent="0.35">
      <c r="B44" s="153" t="s">
        <v>140</v>
      </c>
      <c r="C44" s="153"/>
      <c r="D44" s="153"/>
      <c r="E44" s="153"/>
      <c r="F44" s="153"/>
      <c r="G44" s="153"/>
      <c r="H44" s="153"/>
      <c r="I44" s="153"/>
      <c r="J44" s="153"/>
      <c r="K44" s="153"/>
      <c r="L44" s="153"/>
      <c r="M44" s="153"/>
      <c r="N44" s="153"/>
      <c r="O44" s="153"/>
      <c r="P44" s="153"/>
      <c r="Q44" s="153" t="s">
        <v>121</v>
      </c>
      <c r="R44" s="153"/>
      <c r="S44" s="153"/>
      <c r="T44" s="153"/>
      <c r="U44" s="153"/>
      <c r="V44" s="153"/>
      <c r="W44" s="153"/>
      <c r="X44" s="153"/>
      <c r="Y44" s="153"/>
      <c r="Z44" s="153"/>
      <c r="AA44" s="153"/>
      <c r="AB44" s="153"/>
      <c r="AC44" s="153"/>
      <c r="AD44" s="153"/>
      <c r="AE44" s="153"/>
      <c r="AF44" s="1"/>
      <c r="AG44" s="3"/>
    </row>
    <row r="45" spans="2:33" s="2" customFormat="1" ht="15.65" customHeight="1" x14ac:dyDescent="0.35">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
      <c r="AG45" s="3"/>
    </row>
    <row r="46" spans="2:33" s="2" customFormat="1" x14ac:dyDescent="0.35">
      <c r="B46" s="190">
        <v>2</v>
      </c>
      <c r="C46" s="188"/>
      <c r="D46" s="188"/>
      <c r="E46" s="188"/>
      <c r="F46" s="188"/>
      <c r="G46" s="188"/>
      <c r="H46" s="188"/>
      <c r="I46" s="188"/>
      <c r="J46" s="188"/>
      <c r="K46" s="188"/>
      <c r="L46" s="188"/>
      <c r="M46" s="188"/>
      <c r="N46" s="188"/>
      <c r="O46" s="188"/>
      <c r="P46" s="188"/>
      <c r="Q46" s="189">
        <v>51960</v>
      </c>
      <c r="R46" s="189"/>
      <c r="S46" s="189"/>
      <c r="T46" s="189"/>
      <c r="U46" s="189"/>
      <c r="V46" s="189"/>
      <c r="W46" s="189"/>
      <c r="X46" s="189"/>
      <c r="Y46" s="189"/>
      <c r="Z46" s="189"/>
      <c r="AA46" s="189"/>
      <c r="AB46" s="189"/>
      <c r="AC46" s="189"/>
      <c r="AD46" s="189"/>
      <c r="AE46" s="189"/>
      <c r="AF46" s="1"/>
      <c r="AG46" s="3"/>
    </row>
    <row r="47" spans="2:33" s="2" customFormat="1" x14ac:dyDescent="0.35">
      <c r="B47" s="190">
        <v>3</v>
      </c>
      <c r="C47" s="188"/>
      <c r="D47" s="188"/>
      <c r="E47" s="188"/>
      <c r="F47" s="188"/>
      <c r="G47" s="188"/>
      <c r="H47" s="188"/>
      <c r="I47" s="188"/>
      <c r="J47" s="188"/>
      <c r="K47" s="188"/>
      <c r="L47" s="188"/>
      <c r="M47" s="188"/>
      <c r="N47" s="188"/>
      <c r="O47" s="188"/>
      <c r="P47" s="188"/>
      <c r="Q47" s="189">
        <v>64700</v>
      </c>
      <c r="R47" s="189"/>
      <c r="S47" s="189"/>
      <c r="T47" s="189"/>
      <c r="U47" s="189"/>
      <c r="V47" s="189"/>
      <c r="W47" s="189"/>
      <c r="X47" s="189"/>
      <c r="Y47" s="189"/>
      <c r="Z47" s="189"/>
      <c r="AA47" s="189"/>
      <c r="AB47" s="189"/>
      <c r="AC47" s="189"/>
      <c r="AD47" s="189"/>
      <c r="AE47" s="189"/>
      <c r="AF47" s="1"/>
      <c r="AG47" s="3"/>
    </row>
    <row r="48" spans="2:33" s="2" customFormat="1" x14ac:dyDescent="0.35">
      <c r="B48" s="190">
        <v>4</v>
      </c>
      <c r="C48" s="188"/>
      <c r="D48" s="188"/>
      <c r="E48" s="188"/>
      <c r="F48" s="188"/>
      <c r="G48" s="188"/>
      <c r="H48" s="188"/>
      <c r="I48" s="188"/>
      <c r="J48" s="188"/>
      <c r="K48" s="188"/>
      <c r="L48" s="188"/>
      <c r="M48" s="188"/>
      <c r="N48" s="188"/>
      <c r="O48" s="188"/>
      <c r="P48" s="188"/>
      <c r="Q48" s="189">
        <v>79880</v>
      </c>
      <c r="R48" s="189"/>
      <c r="S48" s="189"/>
      <c r="T48" s="189"/>
      <c r="U48" s="189"/>
      <c r="V48" s="189"/>
      <c r="W48" s="189"/>
      <c r="X48" s="189"/>
      <c r="Y48" s="189"/>
      <c r="Z48" s="189"/>
      <c r="AA48" s="189"/>
      <c r="AB48" s="189"/>
      <c r="AC48" s="189"/>
      <c r="AD48" s="189"/>
      <c r="AE48" s="189"/>
      <c r="AF48" s="1"/>
      <c r="AG48" s="3"/>
    </row>
    <row r="49" spans="2:33" s="2" customFormat="1" x14ac:dyDescent="0.35">
      <c r="B49" s="190">
        <v>5</v>
      </c>
      <c r="C49" s="188"/>
      <c r="D49" s="188"/>
      <c r="E49" s="188"/>
      <c r="F49" s="188"/>
      <c r="G49" s="188"/>
      <c r="H49" s="188"/>
      <c r="I49" s="188"/>
      <c r="J49" s="188"/>
      <c r="K49" s="188"/>
      <c r="L49" s="188"/>
      <c r="M49" s="188"/>
      <c r="N49" s="188"/>
      <c r="O49" s="188"/>
      <c r="P49" s="188"/>
      <c r="Q49" s="189">
        <v>94260</v>
      </c>
      <c r="R49" s="189"/>
      <c r="S49" s="189"/>
      <c r="T49" s="189"/>
      <c r="U49" s="189"/>
      <c r="V49" s="189"/>
      <c r="W49" s="189"/>
      <c r="X49" s="189"/>
      <c r="Y49" s="189"/>
      <c r="Z49" s="189"/>
      <c r="AA49" s="189"/>
      <c r="AB49" s="189"/>
      <c r="AC49" s="189"/>
      <c r="AD49" s="189"/>
      <c r="AE49" s="189"/>
      <c r="AF49" s="1"/>
      <c r="AG49" s="3"/>
    </row>
    <row r="50" spans="2:33" s="2" customFormat="1" x14ac:dyDescent="0.35">
      <c r="B50" s="190">
        <v>6</v>
      </c>
      <c r="C50" s="188"/>
      <c r="D50" s="188"/>
      <c r="E50" s="188"/>
      <c r="F50" s="188"/>
      <c r="G50" s="188"/>
      <c r="H50" s="188"/>
      <c r="I50" s="188"/>
      <c r="J50" s="188"/>
      <c r="K50" s="188"/>
      <c r="L50" s="188"/>
      <c r="M50" s="188"/>
      <c r="N50" s="188"/>
      <c r="O50" s="188"/>
      <c r="P50" s="188"/>
      <c r="Q50" s="189">
        <v>110230</v>
      </c>
      <c r="R50" s="189"/>
      <c r="S50" s="189"/>
      <c r="T50" s="189"/>
      <c r="U50" s="189"/>
      <c r="V50" s="189"/>
      <c r="W50" s="189"/>
      <c r="X50" s="189"/>
      <c r="Y50" s="189"/>
      <c r="Z50" s="189"/>
      <c r="AA50" s="189"/>
      <c r="AB50" s="189"/>
      <c r="AC50" s="189"/>
      <c r="AD50" s="189"/>
      <c r="AE50" s="189"/>
      <c r="AF50" s="1"/>
      <c r="AG50" s="3"/>
    </row>
    <row r="51" spans="2:33" s="2" customFormat="1" x14ac:dyDescent="0.35">
      <c r="B51" s="188">
        <f>'Formula C'!W32</f>
        <v>0</v>
      </c>
      <c r="C51" s="188"/>
      <c r="D51" s="188"/>
      <c r="E51" s="188"/>
      <c r="F51" s="188"/>
      <c r="G51" s="188"/>
      <c r="H51" s="188"/>
      <c r="I51" s="188"/>
      <c r="J51" s="188"/>
      <c r="K51" s="188"/>
      <c r="L51" s="188"/>
      <c r="M51" s="188"/>
      <c r="N51" s="188"/>
      <c r="O51" s="188"/>
      <c r="P51" s="188"/>
      <c r="Q51" s="189">
        <f>Q50+((B51-B50)*12460)</f>
        <v>35470</v>
      </c>
      <c r="R51" s="189"/>
      <c r="S51" s="189"/>
      <c r="T51" s="189"/>
      <c r="U51" s="189"/>
      <c r="V51" s="189"/>
      <c r="W51" s="189"/>
      <c r="X51" s="189"/>
      <c r="Y51" s="189"/>
      <c r="Z51" s="189"/>
      <c r="AA51" s="189"/>
      <c r="AB51" s="189"/>
      <c r="AC51" s="189"/>
      <c r="AD51" s="189"/>
      <c r="AE51" s="189"/>
      <c r="AF51" s="1"/>
      <c r="AG51" s="3"/>
    </row>
    <row r="53" spans="2:33" x14ac:dyDescent="0.35">
      <c r="B53" s="170" t="s">
        <v>272</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row>
    <row r="54" spans="2:33" x14ac:dyDescent="0.35">
      <c r="B54" s="153" t="s">
        <v>144</v>
      </c>
      <c r="C54" s="153"/>
      <c r="D54" s="153"/>
      <c r="E54" s="153"/>
      <c r="F54" s="153"/>
      <c r="G54" s="153"/>
      <c r="H54" s="153"/>
      <c r="I54" s="153"/>
      <c r="J54" s="153"/>
      <c r="K54" s="153"/>
      <c r="L54" s="153"/>
      <c r="M54" s="153"/>
      <c r="N54" s="153"/>
      <c r="O54" s="153"/>
      <c r="P54" s="153"/>
      <c r="Q54" s="153" t="s">
        <v>145</v>
      </c>
      <c r="R54" s="153"/>
      <c r="S54" s="153"/>
      <c r="T54" s="153"/>
      <c r="U54" s="153"/>
      <c r="V54" s="153"/>
      <c r="W54" s="153"/>
      <c r="X54" s="153"/>
      <c r="Y54" s="153"/>
      <c r="Z54" s="153"/>
      <c r="AA54" s="153"/>
      <c r="AB54" s="153"/>
      <c r="AC54" s="153"/>
      <c r="AD54" s="153"/>
      <c r="AE54" s="153"/>
    </row>
    <row r="55" spans="2:33" x14ac:dyDescent="0.35">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row>
    <row r="56" spans="2:33" x14ac:dyDescent="0.35">
      <c r="B56" s="152">
        <v>-10000000000000</v>
      </c>
      <c r="C56" s="152"/>
      <c r="D56" s="152"/>
      <c r="E56" s="152"/>
      <c r="F56" s="152"/>
      <c r="G56" s="152"/>
      <c r="H56" s="152"/>
      <c r="I56" s="152"/>
      <c r="J56" s="152"/>
      <c r="K56" s="152"/>
      <c r="L56" s="152"/>
      <c r="M56" s="152"/>
      <c r="N56" s="152"/>
      <c r="O56" s="152"/>
      <c r="P56" s="152"/>
      <c r="Q56" s="151">
        <v>0</v>
      </c>
      <c r="R56" s="151"/>
      <c r="S56" s="151"/>
      <c r="T56" s="151"/>
      <c r="U56" s="151"/>
      <c r="V56" s="151"/>
      <c r="W56" s="151"/>
      <c r="X56" s="151"/>
      <c r="Y56" s="151"/>
      <c r="Z56" s="151"/>
      <c r="AA56" s="151"/>
      <c r="AB56" s="151"/>
      <c r="AC56" s="151"/>
      <c r="AD56" s="151"/>
      <c r="AE56" s="151"/>
    </row>
    <row r="57" spans="2:33" x14ac:dyDescent="0.35">
      <c r="B57" s="152">
        <v>1</v>
      </c>
      <c r="C57" s="152"/>
      <c r="D57" s="152"/>
      <c r="E57" s="152"/>
      <c r="F57" s="152"/>
      <c r="G57" s="152"/>
      <c r="H57" s="152"/>
      <c r="I57" s="152"/>
      <c r="J57" s="152"/>
      <c r="K57" s="152"/>
      <c r="L57" s="152"/>
      <c r="M57" s="152"/>
      <c r="N57" s="152"/>
      <c r="O57" s="152"/>
      <c r="P57" s="152"/>
      <c r="Q57" s="151">
        <f>0.4*'Formula C'!AB56</f>
        <v>0</v>
      </c>
      <c r="R57" s="151"/>
      <c r="S57" s="151"/>
      <c r="T57" s="151"/>
      <c r="U57" s="151"/>
      <c r="V57" s="151"/>
      <c r="W57" s="151"/>
      <c r="X57" s="151"/>
      <c r="Y57" s="151"/>
      <c r="Z57" s="151"/>
      <c r="AA57" s="151"/>
      <c r="AB57" s="151"/>
      <c r="AC57" s="151"/>
      <c r="AD57" s="151"/>
      <c r="AE57" s="151"/>
    </row>
    <row r="58" spans="2:33" x14ac:dyDescent="0.35">
      <c r="B58" s="152">
        <v>165001</v>
      </c>
      <c r="C58" s="152"/>
      <c r="D58" s="152"/>
      <c r="E58" s="152"/>
      <c r="F58" s="152"/>
      <c r="G58" s="152"/>
      <c r="H58" s="152"/>
      <c r="I58" s="152"/>
      <c r="J58" s="152"/>
      <c r="K58" s="152"/>
      <c r="L58" s="152"/>
      <c r="M58" s="152"/>
      <c r="N58" s="152"/>
      <c r="O58" s="152"/>
      <c r="P58" s="152"/>
      <c r="Q58" s="151">
        <f>66000+(('Formula C'!AB56-165000)*0.5)</f>
        <v>-16500</v>
      </c>
      <c r="R58" s="151"/>
      <c r="S58" s="151"/>
      <c r="T58" s="151"/>
      <c r="U58" s="151"/>
      <c r="V58" s="151"/>
      <c r="W58" s="151"/>
      <c r="X58" s="151"/>
      <c r="Y58" s="151"/>
      <c r="Z58" s="151"/>
      <c r="AA58" s="151"/>
      <c r="AB58" s="151"/>
      <c r="AC58" s="151"/>
      <c r="AD58" s="151"/>
      <c r="AE58" s="151"/>
    </row>
    <row r="59" spans="2:33" x14ac:dyDescent="0.35">
      <c r="B59" s="152">
        <v>490001</v>
      </c>
      <c r="C59" s="152"/>
      <c r="D59" s="152"/>
      <c r="E59" s="152"/>
      <c r="F59" s="152"/>
      <c r="G59" s="152"/>
      <c r="H59" s="152"/>
      <c r="I59" s="152"/>
      <c r="J59" s="152"/>
      <c r="K59" s="152"/>
      <c r="L59" s="152"/>
      <c r="M59" s="152"/>
      <c r="N59" s="152"/>
      <c r="O59" s="152"/>
      <c r="P59" s="152"/>
      <c r="Q59" s="151">
        <f>228500+(('Formula C'!AB56-490000)*0.6)</f>
        <v>-65500</v>
      </c>
      <c r="R59" s="151"/>
      <c r="S59" s="151"/>
      <c r="T59" s="151"/>
      <c r="U59" s="151"/>
      <c r="V59" s="151"/>
      <c r="W59" s="151"/>
      <c r="X59" s="151"/>
      <c r="Y59" s="151"/>
      <c r="Z59" s="151"/>
      <c r="AA59" s="151"/>
      <c r="AB59" s="151"/>
      <c r="AC59" s="151"/>
      <c r="AD59" s="151"/>
      <c r="AE59" s="151"/>
    </row>
    <row r="60" spans="2:33" x14ac:dyDescent="0.35">
      <c r="B60" s="152">
        <v>820001</v>
      </c>
      <c r="C60" s="152"/>
      <c r="D60" s="152"/>
      <c r="E60" s="152"/>
      <c r="F60" s="152"/>
      <c r="G60" s="152"/>
      <c r="H60" s="152"/>
      <c r="I60" s="152"/>
      <c r="J60" s="152"/>
      <c r="K60" s="152"/>
      <c r="L60" s="152"/>
      <c r="M60" s="152"/>
      <c r="N60" s="152"/>
      <c r="O60" s="152"/>
      <c r="P60" s="152"/>
      <c r="Q60" s="151">
        <f>426500+('Formula C'!AB56-820000)</f>
        <v>-393500</v>
      </c>
      <c r="R60" s="151"/>
      <c r="S60" s="151"/>
      <c r="T60" s="151"/>
      <c r="U60" s="151"/>
      <c r="V60" s="151"/>
      <c r="W60" s="151"/>
      <c r="X60" s="151"/>
      <c r="Y60" s="151"/>
      <c r="Z60" s="151"/>
      <c r="AA60" s="151"/>
      <c r="AB60" s="151"/>
      <c r="AC60" s="151"/>
      <c r="AD60" s="151"/>
      <c r="AE60" s="151"/>
    </row>
    <row r="62" spans="2:33" x14ac:dyDescent="0.35">
      <c r="B62" s="170" t="s">
        <v>273</v>
      </c>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row>
    <row r="63" spans="2:33" ht="14.4" customHeight="1" x14ac:dyDescent="0.35">
      <c r="B63" s="171" t="s">
        <v>235</v>
      </c>
      <c r="C63" s="171"/>
      <c r="D63" s="171"/>
      <c r="E63" s="171"/>
      <c r="F63" s="172"/>
      <c r="G63" s="171" t="s">
        <v>236</v>
      </c>
      <c r="H63" s="171"/>
      <c r="I63" s="171"/>
      <c r="J63" s="171"/>
      <c r="K63" s="172"/>
      <c r="L63" s="171" t="s">
        <v>237</v>
      </c>
      <c r="M63" s="171"/>
      <c r="N63" s="171"/>
      <c r="O63" s="171"/>
      <c r="P63" s="172"/>
      <c r="Q63" s="171" t="s">
        <v>235</v>
      </c>
      <c r="R63" s="171"/>
      <c r="S63" s="171"/>
      <c r="T63" s="171"/>
      <c r="U63" s="172"/>
      <c r="V63" s="171" t="s">
        <v>236</v>
      </c>
      <c r="W63" s="171"/>
      <c r="X63" s="171"/>
      <c r="Y63" s="171"/>
      <c r="Z63" s="172"/>
      <c r="AA63" s="171" t="s">
        <v>237</v>
      </c>
      <c r="AB63" s="171"/>
      <c r="AC63" s="171"/>
      <c r="AD63" s="171"/>
      <c r="AE63" s="172"/>
    </row>
    <row r="64" spans="2:33" ht="14.4" customHeight="1" x14ac:dyDescent="0.35">
      <c r="B64" s="173"/>
      <c r="C64" s="173"/>
      <c r="D64" s="173"/>
      <c r="E64" s="173"/>
      <c r="F64" s="174"/>
      <c r="G64" s="173"/>
      <c r="H64" s="173"/>
      <c r="I64" s="173"/>
      <c r="J64" s="173"/>
      <c r="K64" s="174"/>
      <c r="L64" s="173"/>
      <c r="M64" s="173"/>
      <c r="N64" s="173"/>
      <c r="O64" s="173"/>
      <c r="P64" s="174"/>
      <c r="Q64" s="173"/>
      <c r="R64" s="173"/>
      <c r="S64" s="173"/>
      <c r="T64" s="173"/>
      <c r="U64" s="174"/>
      <c r="V64" s="173"/>
      <c r="W64" s="173"/>
      <c r="X64" s="173"/>
      <c r="Y64" s="173"/>
      <c r="Z64" s="174"/>
      <c r="AA64" s="173"/>
      <c r="AB64" s="173"/>
      <c r="AC64" s="173"/>
      <c r="AD64" s="173"/>
      <c r="AE64" s="174"/>
    </row>
    <row r="65" spans="2:31" ht="14.4" customHeight="1" x14ac:dyDescent="0.35">
      <c r="B65" s="173"/>
      <c r="C65" s="173"/>
      <c r="D65" s="173"/>
      <c r="E65" s="173"/>
      <c r="F65" s="174"/>
      <c r="G65" s="173"/>
      <c r="H65" s="173"/>
      <c r="I65" s="173"/>
      <c r="J65" s="173"/>
      <c r="K65" s="174"/>
      <c r="L65" s="173"/>
      <c r="M65" s="173"/>
      <c r="N65" s="173"/>
      <c r="O65" s="173"/>
      <c r="P65" s="174"/>
      <c r="Q65" s="173"/>
      <c r="R65" s="173"/>
      <c r="S65" s="173"/>
      <c r="T65" s="173"/>
      <c r="U65" s="174"/>
      <c r="V65" s="173"/>
      <c r="W65" s="173"/>
      <c r="X65" s="173"/>
      <c r="Y65" s="173"/>
      <c r="Z65" s="174"/>
      <c r="AA65" s="173"/>
      <c r="AB65" s="173"/>
      <c r="AC65" s="173"/>
      <c r="AD65" s="173"/>
      <c r="AE65" s="174"/>
    </row>
    <row r="66" spans="2:31" ht="14.4" customHeight="1" x14ac:dyDescent="0.35">
      <c r="B66" s="173"/>
      <c r="C66" s="173"/>
      <c r="D66" s="173"/>
      <c r="E66" s="173"/>
      <c r="F66" s="174"/>
      <c r="G66" s="173"/>
      <c r="H66" s="173"/>
      <c r="I66" s="173"/>
      <c r="J66" s="173"/>
      <c r="K66" s="174"/>
      <c r="L66" s="173"/>
      <c r="M66" s="173"/>
      <c r="N66" s="173"/>
      <c r="O66" s="173"/>
      <c r="P66" s="174"/>
      <c r="Q66" s="173"/>
      <c r="R66" s="173"/>
      <c r="S66" s="173"/>
      <c r="T66" s="173"/>
      <c r="U66" s="174"/>
      <c r="V66" s="173"/>
      <c r="W66" s="173"/>
      <c r="X66" s="173"/>
      <c r="Y66" s="173"/>
      <c r="Z66" s="174"/>
      <c r="AA66" s="173"/>
      <c r="AB66" s="173"/>
      <c r="AC66" s="173"/>
      <c r="AD66" s="173"/>
      <c r="AE66" s="174"/>
    </row>
    <row r="67" spans="2:31" x14ac:dyDescent="0.35">
      <c r="B67" s="157" t="s">
        <v>176</v>
      </c>
      <c r="C67" s="157"/>
      <c r="D67" s="157"/>
      <c r="E67" s="157"/>
      <c r="F67" s="157"/>
      <c r="G67" s="154">
        <v>0</v>
      </c>
      <c r="H67" s="154"/>
      <c r="I67" s="154"/>
      <c r="J67" s="154"/>
      <c r="K67" s="154"/>
      <c r="L67" s="154">
        <v>0</v>
      </c>
      <c r="M67" s="154"/>
      <c r="N67" s="154"/>
      <c r="O67" s="154"/>
      <c r="P67" s="154"/>
      <c r="Q67" s="157">
        <v>46</v>
      </c>
      <c r="R67" s="157"/>
      <c r="S67" s="157"/>
      <c r="T67" s="157"/>
      <c r="U67" s="157"/>
      <c r="V67" s="154">
        <v>0</v>
      </c>
      <c r="W67" s="154"/>
      <c r="X67" s="154"/>
      <c r="Y67" s="154"/>
      <c r="Z67" s="154"/>
      <c r="AA67" s="154">
        <v>0</v>
      </c>
      <c r="AB67" s="154"/>
      <c r="AC67" s="154"/>
      <c r="AD67" s="154"/>
      <c r="AE67" s="154"/>
    </row>
    <row r="68" spans="2:31" x14ac:dyDescent="0.35">
      <c r="B68" s="157">
        <v>26</v>
      </c>
      <c r="C68" s="157"/>
      <c r="D68" s="157"/>
      <c r="E68" s="157"/>
      <c r="F68" s="157"/>
      <c r="G68" s="154">
        <v>0</v>
      </c>
      <c r="H68" s="154"/>
      <c r="I68" s="154"/>
      <c r="J68" s="154"/>
      <c r="K68" s="154"/>
      <c r="L68" s="154">
        <v>0</v>
      </c>
      <c r="M68" s="154"/>
      <c r="N68" s="154"/>
      <c r="O68" s="154"/>
      <c r="P68" s="154"/>
      <c r="Q68" s="157">
        <v>47</v>
      </c>
      <c r="R68" s="157"/>
      <c r="S68" s="157"/>
      <c r="T68" s="157"/>
      <c r="U68" s="157"/>
      <c r="V68" s="154">
        <v>0</v>
      </c>
      <c r="W68" s="154"/>
      <c r="X68" s="154"/>
      <c r="Y68" s="154"/>
      <c r="Z68" s="154"/>
      <c r="AA68" s="154">
        <v>0</v>
      </c>
      <c r="AB68" s="154"/>
      <c r="AC68" s="154"/>
      <c r="AD68" s="154"/>
      <c r="AE68" s="154"/>
    </row>
    <row r="69" spans="2:31" x14ac:dyDescent="0.35">
      <c r="B69" s="157">
        <v>27</v>
      </c>
      <c r="C69" s="157"/>
      <c r="D69" s="157"/>
      <c r="E69" s="157"/>
      <c r="F69" s="157"/>
      <c r="G69" s="154">
        <v>0</v>
      </c>
      <c r="H69" s="154"/>
      <c r="I69" s="154"/>
      <c r="J69" s="154"/>
      <c r="K69" s="154"/>
      <c r="L69" s="154">
        <v>0</v>
      </c>
      <c r="M69" s="154"/>
      <c r="N69" s="154"/>
      <c r="O69" s="154"/>
      <c r="P69" s="154"/>
      <c r="Q69" s="157">
        <v>48</v>
      </c>
      <c r="R69" s="157"/>
      <c r="S69" s="157"/>
      <c r="T69" s="157"/>
      <c r="U69" s="157"/>
      <c r="V69" s="154">
        <v>0</v>
      </c>
      <c r="W69" s="154"/>
      <c r="X69" s="154"/>
      <c r="Y69" s="154"/>
      <c r="Z69" s="154"/>
      <c r="AA69" s="154">
        <v>0</v>
      </c>
      <c r="AB69" s="154"/>
      <c r="AC69" s="154"/>
      <c r="AD69" s="154"/>
      <c r="AE69" s="154"/>
    </row>
    <row r="70" spans="2:31" x14ac:dyDescent="0.35">
      <c r="B70" s="157">
        <v>28</v>
      </c>
      <c r="C70" s="157"/>
      <c r="D70" s="157"/>
      <c r="E70" s="157"/>
      <c r="F70" s="157"/>
      <c r="G70" s="154">
        <v>0</v>
      </c>
      <c r="H70" s="154"/>
      <c r="I70" s="154"/>
      <c r="J70" s="154"/>
      <c r="K70" s="154"/>
      <c r="L70" s="154">
        <v>0</v>
      </c>
      <c r="M70" s="154"/>
      <c r="N70" s="154"/>
      <c r="O70" s="154"/>
      <c r="P70" s="154"/>
      <c r="Q70" s="157">
        <v>49</v>
      </c>
      <c r="R70" s="157"/>
      <c r="S70" s="157"/>
      <c r="T70" s="157"/>
      <c r="U70" s="157"/>
      <c r="V70" s="154">
        <v>0</v>
      </c>
      <c r="W70" s="154"/>
      <c r="X70" s="154"/>
      <c r="Y70" s="154"/>
      <c r="Z70" s="154"/>
      <c r="AA70" s="154">
        <v>0</v>
      </c>
      <c r="AB70" s="154"/>
      <c r="AC70" s="154"/>
      <c r="AD70" s="154"/>
      <c r="AE70" s="154"/>
    </row>
    <row r="71" spans="2:31" x14ac:dyDescent="0.35">
      <c r="B71" s="157">
        <v>29</v>
      </c>
      <c r="C71" s="157"/>
      <c r="D71" s="157"/>
      <c r="E71" s="157"/>
      <c r="F71" s="157"/>
      <c r="G71" s="154">
        <v>0</v>
      </c>
      <c r="H71" s="154"/>
      <c r="I71" s="154"/>
      <c r="J71" s="154"/>
      <c r="K71" s="154"/>
      <c r="L71" s="154">
        <v>0</v>
      </c>
      <c r="M71" s="154"/>
      <c r="N71" s="154"/>
      <c r="O71" s="154"/>
      <c r="P71" s="154"/>
      <c r="Q71" s="157">
        <v>50</v>
      </c>
      <c r="R71" s="157"/>
      <c r="S71" s="157"/>
      <c r="T71" s="157"/>
      <c r="U71" s="157"/>
      <c r="V71" s="154">
        <v>0</v>
      </c>
      <c r="W71" s="154"/>
      <c r="X71" s="154"/>
      <c r="Y71" s="154"/>
      <c r="Z71" s="154"/>
      <c r="AA71" s="154">
        <v>0</v>
      </c>
      <c r="AB71" s="154"/>
      <c r="AC71" s="154"/>
      <c r="AD71" s="154"/>
      <c r="AE71" s="154"/>
    </row>
    <row r="72" spans="2:31" x14ac:dyDescent="0.35">
      <c r="B72" s="157">
        <v>30</v>
      </c>
      <c r="C72" s="157"/>
      <c r="D72" s="157"/>
      <c r="E72" s="157"/>
      <c r="F72" s="157"/>
      <c r="G72" s="154">
        <v>0</v>
      </c>
      <c r="H72" s="154"/>
      <c r="I72" s="154"/>
      <c r="J72" s="154"/>
      <c r="K72" s="154"/>
      <c r="L72" s="154">
        <v>0</v>
      </c>
      <c r="M72" s="154"/>
      <c r="N72" s="154"/>
      <c r="O72" s="154"/>
      <c r="P72" s="154"/>
      <c r="Q72" s="157">
        <v>51</v>
      </c>
      <c r="R72" s="157"/>
      <c r="S72" s="157"/>
      <c r="T72" s="157"/>
      <c r="U72" s="157"/>
      <c r="V72" s="154">
        <v>0</v>
      </c>
      <c r="W72" s="154"/>
      <c r="X72" s="154"/>
      <c r="Y72" s="154"/>
      <c r="Z72" s="154"/>
      <c r="AA72" s="154">
        <v>0</v>
      </c>
      <c r="AB72" s="154"/>
      <c r="AC72" s="154"/>
      <c r="AD72" s="154"/>
      <c r="AE72" s="154"/>
    </row>
    <row r="73" spans="2:31" x14ac:dyDescent="0.35">
      <c r="B73" s="157">
        <v>31</v>
      </c>
      <c r="C73" s="157"/>
      <c r="D73" s="157"/>
      <c r="E73" s="157"/>
      <c r="F73" s="157"/>
      <c r="G73" s="154">
        <v>0</v>
      </c>
      <c r="H73" s="154"/>
      <c r="I73" s="154"/>
      <c r="J73" s="154"/>
      <c r="K73" s="154"/>
      <c r="L73" s="154">
        <v>0</v>
      </c>
      <c r="M73" s="154"/>
      <c r="N73" s="154"/>
      <c r="O73" s="154"/>
      <c r="P73" s="154"/>
      <c r="Q73" s="157">
        <v>52</v>
      </c>
      <c r="R73" s="157"/>
      <c r="S73" s="157"/>
      <c r="T73" s="157"/>
      <c r="U73" s="157"/>
      <c r="V73" s="154">
        <v>0</v>
      </c>
      <c r="W73" s="154"/>
      <c r="X73" s="154"/>
      <c r="Y73" s="154"/>
      <c r="Z73" s="154"/>
      <c r="AA73" s="154">
        <v>0</v>
      </c>
      <c r="AB73" s="154"/>
      <c r="AC73" s="154"/>
      <c r="AD73" s="154"/>
      <c r="AE73" s="154"/>
    </row>
    <row r="74" spans="2:31" x14ac:dyDescent="0.35">
      <c r="B74" s="157">
        <v>32</v>
      </c>
      <c r="C74" s="157"/>
      <c r="D74" s="157"/>
      <c r="E74" s="157"/>
      <c r="F74" s="157"/>
      <c r="G74" s="154">
        <v>0</v>
      </c>
      <c r="H74" s="154"/>
      <c r="I74" s="154"/>
      <c r="J74" s="154"/>
      <c r="K74" s="154"/>
      <c r="L74" s="154">
        <v>0</v>
      </c>
      <c r="M74" s="154"/>
      <c r="N74" s="154"/>
      <c r="O74" s="154"/>
      <c r="P74" s="154"/>
      <c r="Q74" s="157">
        <v>53</v>
      </c>
      <c r="R74" s="157"/>
      <c r="S74" s="157"/>
      <c r="T74" s="157"/>
      <c r="U74" s="157"/>
      <c r="V74" s="154">
        <v>0</v>
      </c>
      <c r="W74" s="154"/>
      <c r="X74" s="154"/>
      <c r="Y74" s="154"/>
      <c r="Z74" s="154"/>
      <c r="AA74" s="154">
        <v>0</v>
      </c>
      <c r="AB74" s="154"/>
      <c r="AC74" s="154"/>
      <c r="AD74" s="154"/>
      <c r="AE74" s="154"/>
    </row>
    <row r="75" spans="2:31" x14ac:dyDescent="0.35">
      <c r="B75" s="157">
        <v>33</v>
      </c>
      <c r="C75" s="157"/>
      <c r="D75" s="157"/>
      <c r="E75" s="157"/>
      <c r="F75" s="157"/>
      <c r="G75" s="154">
        <v>0</v>
      </c>
      <c r="H75" s="154"/>
      <c r="I75" s="154"/>
      <c r="J75" s="154"/>
      <c r="K75" s="154"/>
      <c r="L75" s="154">
        <v>0</v>
      </c>
      <c r="M75" s="154"/>
      <c r="N75" s="154"/>
      <c r="O75" s="154"/>
      <c r="P75" s="154"/>
      <c r="Q75" s="157">
        <v>54</v>
      </c>
      <c r="R75" s="157"/>
      <c r="S75" s="157"/>
      <c r="T75" s="157"/>
      <c r="U75" s="157"/>
      <c r="V75" s="154">
        <v>0</v>
      </c>
      <c r="W75" s="154"/>
      <c r="X75" s="154"/>
      <c r="Y75" s="154"/>
      <c r="Z75" s="154"/>
      <c r="AA75" s="154">
        <v>0</v>
      </c>
      <c r="AB75" s="154"/>
      <c r="AC75" s="154"/>
      <c r="AD75" s="154"/>
      <c r="AE75" s="154"/>
    </row>
    <row r="76" spans="2:31" x14ac:dyDescent="0.35">
      <c r="B76" s="157">
        <v>34</v>
      </c>
      <c r="C76" s="157"/>
      <c r="D76" s="157"/>
      <c r="E76" s="157"/>
      <c r="F76" s="157"/>
      <c r="G76" s="154">
        <v>0</v>
      </c>
      <c r="H76" s="154"/>
      <c r="I76" s="154"/>
      <c r="J76" s="154"/>
      <c r="K76" s="154"/>
      <c r="L76" s="154">
        <v>0</v>
      </c>
      <c r="M76" s="154"/>
      <c r="N76" s="154"/>
      <c r="O76" s="154"/>
      <c r="P76" s="154"/>
      <c r="Q76" s="157">
        <v>55</v>
      </c>
      <c r="R76" s="157"/>
      <c r="S76" s="157"/>
      <c r="T76" s="157"/>
      <c r="U76" s="157"/>
      <c r="V76" s="154">
        <v>0</v>
      </c>
      <c r="W76" s="154"/>
      <c r="X76" s="154"/>
      <c r="Y76" s="154"/>
      <c r="Z76" s="154"/>
      <c r="AA76" s="154">
        <v>0</v>
      </c>
      <c r="AB76" s="154"/>
      <c r="AC76" s="154"/>
      <c r="AD76" s="154"/>
      <c r="AE76" s="154"/>
    </row>
    <row r="77" spans="2:31" x14ac:dyDescent="0.35">
      <c r="B77" s="157">
        <v>35</v>
      </c>
      <c r="C77" s="157"/>
      <c r="D77" s="157"/>
      <c r="E77" s="157"/>
      <c r="F77" s="157"/>
      <c r="G77" s="154">
        <v>0</v>
      </c>
      <c r="H77" s="154"/>
      <c r="I77" s="154"/>
      <c r="J77" s="154"/>
      <c r="K77" s="154"/>
      <c r="L77" s="154">
        <v>0</v>
      </c>
      <c r="M77" s="154"/>
      <c r="N77" s="154"/>
      <c r="O77" s="154"/>
      <c r="P77" s="154"/>
      <c r="Q77" s="157">
        <v>56</v>
      </c>
      <c r="R77" s="157"/>
      <c r="S77" s="157"/>
      <c r="T77" s="157"/>
      <c r="U77" s="157"/>
      <c r="V77" s="154">
        <v>0</v>
      </c>
      <c r="W77" s="154"/>
      <c r="X77" s="154"/>
      <c r="Y77" s="154"/>
      <c r="Z77" s="154"/>
      <c r="AA77" s="154">
        <v>0</v>
      </c>
      <c r="AB77" s="154"/>
      <c r="AC77" s="154"/>
      <c r="AD77" s="154"/>
      <c r="AE77" s="154"/>
    </row>
    <row r="78" spans="2:31" x14ac:dyDescent="0.35">
      <c r="B78" s="157">
        <v>36</v>
      </c>
      <c r="C78" s="157"/>
      <c r="D78" s="157"/>
      <c r="E78" s="157"/>
      <c r="F78" s="157"/>
      <c r="G78" s="154">
        <v>0</v>
      </c>
      <c r="H78" s="154"/>
      <c r="I78" s="154"/>
      <c r="J78" s="154"/>
      <c r="K78" s="154"/>
      <c r="L78" s="154">
        <v>0</v>
      </c>
      <c r="M78" s="154"/>
      <c r="N78" s="154"/>
      <c r="O78" s="154"/>
      <c r="P78" s="154"/>
      <c r="Q78" s="157">
        <v>57</v>
      </c>
      <c r="R78" s="157"/>
      <c r="S78" s="157"/>
      <c r="T78" s="157"/>
      <c r="U78" s="157"/>
      <c r="V78" s="154">
        <v>0</v>
      </c>
      <c r="W78" s="154"/>
      <c r="X78" s="154"/>
      <c r="Y78" s="154"/>
      <c r="Z78" s="154"/>
      <c r="AA78" s="154">
        <v>0</v>
      </c>
      <c r="AB78" s="154"/>
      <c r="AC78" s="154"/>
      <c r="AD78" s="154"/>
      <c r="AE78" s="154"/>
    </row>
    <row r="79" spans="2:31" x14ac:dyDescent="0.35">
      <c r="B79" s="157">
        <v>37</v>
      </c>
      <c r="C79" s="157"/>
      <c r="D79" s="157"/>
      <c r="E79" s="157"/>
      <c r="F79" s="157"/>
      <c r="G79" s="154">
        <v>0</v>
      </c>
      <c r="H79" s="154"/>
      <c r="I79" s="154"/>
      <c r="J79" s="154"/>
      <c r="K79" s="154"/>
      <c r="L79" s="154">
        <v>0</v>
      </c>
      <c r="M79" s="154"/>
      <c r="N79" s="154"/>
      <c r="O79" s="154"/>
      <c r="P79" s="154"/>
      <c r="Q79" s="157">
        <v>58</v>
      </c>
      <c r="R79" s="157"/>
      <c r="S79" s="157"/>
      <c r="T79" s="157"/>
      <c r="U79" s="157"/>
      <c r="V79" s="154">
        <v>0</v>
      </c>
      <c r="W79" s="154"/>
      <c r="X79" s="154"/>
      <c r="Y79" s="154"/>
      <c r="Z79" s="154"/>
      <c r="AA79" s="154">
        <v>0</v>
      </c>
      <c r="AB79" s="154"/>
      <c r="AC79" s="154"/>
      <c r="AD79" s="154"/>
      <c r="AE79" s="154"/>
    </row>
    <row r="80" spans="2:31" x14ac:dyDescent="0.35">
      <c r="B80" s="157">
        <v>38</v>
      </c>
      <c r="C80" s="157"/>
      <c r="D80" s="157"/>
      <c r="E80" s="157"/>
      <c r="F80" s="157"/>
      <c r="G80" s="154">
        <v>0</v>
      </c>
      <c r="H80" s="154"/>
      <c r="I80" s="154"/>
      <c r="J80" s="154"/>
      <c r="K80" s="154"/>
      <c r="L80" s="154">
        <v>0</v>
      </c>
      <c r="M80" s="154"/>
      <c r="N80" s="154"/>
      <c r="O80" s="154"/>
      <c r="P80" s="154"/>
      <c r="Q80" s="157">
        <v>59</v>
      </c>
      <c r="R80" s="157"/>
      <c r="S80" s="157"/>
      <c r="T80" s="157"/>
      <c r="U80" s="157"/>
      <c r="V80" s="154">
        <v>0</v>
      </c>
      <c r="W80" s="154"/>
      <c r="X80" s="154"/>
      <c r="Y80" s="154"/>
      <c r="Z80" s="154"/>
      <c r="AA80" s="154">
        <v>0</v>
      </c>
      <c r="AB80" s="154"/>
      <c r="AC80" s="154"/>
      <c r="AD80" s="154"/>
      <c r="AE80" s="154"/>
    </row>
    <row r="81" spans="2:31" x14ac:dyDescent="0.35">
      <c r="B81" s="157">
        <v>39</v>
      </c>
      <c r="C81" s="157"/>
      <c r="D81" s="157"/>
      <c r="E81" s="157"/>
      <c r="F81" s="157"/>
      <c r="G81" s="154">
        <v>0</v>
      </c>
      <c r="H81" s="154"/>
      <c r="I81" s="154"/>
      <c r="J81" s="154"/>
      <c r="K81" s="154"/>
      <c r="L81" s="154">
        <v>0</v>
      </c>
      <c r="M81" s="154"/>
      <c r="N81" s="154"/>
      <c r="O81" s="154"/>
      <c r="P81" s="154"/>
      <c r="Q81" s="157">
        <v>60</v>
      </c>
      <c r="R81" s="157"/>
      <c r="S81" s="157"/>
      <c r="T81" s="157"/>
      <c r="U81" s="157"/>
      <c r="V81" s="154">
        <v>0</v>
      </c>
      <c r="W81" s="154"/>
      <c r="X81" s="154"/>
      <c r="Y81" s="154"/>
      <c r="Z81" s="154"/>
      <c r="AA81" s="154">
        <v>0</v>
      </c>
      <c r="AB81" s="154"/>
      <c r="AC81" s="154"/>
      <c r="AD81" s="154"/>
      <c r="AE81" s="154"/>
    </row>
    <row r="82" spans="2:31" x14ac:dyDescent="0.35">
      <c r="B82" s="157">
        <v>40</v>
      </c>
      <c r="C82" s="157"/>
      <c r="D82" s="157"/>
      <c r="E82" s="157"/>
      <c r="F82" s="157"/>
      <c r="G82" s="154">
        <v>0</v>
      </c>
      <c r="H82" s="154"/>
      <c r="I82" s="154"/>
      <c r="J82" s="154"/>
      <c r="K82" s="154"/>
      <c r="L82" s="154">
        <v>0</v>
      </c>
      <c r="M82" s="154"/>
      <c r="N82" s="154"/>
      <c r="O82" s="154"/>
      <c r="P82" s="154"/>
      <c r="Q82" s="157">
        <v>61</v>
      </c>
      <c r="R82" s="157"/>
      <c r="S82" s="157"/>
      <c r="T82" s="157"/>
      <c r="U82" s="157"/>
      <c r="V82" s="154">
        <v>0</v>
      </c>
      <c r="W82" s="154"/>
      <c r="X82" s="154"/>
      <c r="Y82" s="154"/>
      <c r="Z82" s="154"/>
      <c r="AA82" s="154">
        <v>0</v>
      </c>
      <c r="AB82" s="154"/>
      <c r="AC82" s="154"/>
      <c r="AD82" s="154"/>
      <c r="AE82" s="154"/>
    </row>
    <row r="83" spans="2:31" x14ac:dyDescent="0.35">
      <c r="B83" s="157">
        <v>41</v>
      </c>
      <c r="C83" s="157"/>
      <c r="D83" s="157"/>
      <c r="E83" s="157"/>
      <c r="F83" s="157"/>
      <c r="G83" s="154">
        <v>0</v>
      </c>
      <c r="H83" s="154"/>
      <c r="I83" s="154"/>
      <c r="J83" s="154"/>
      <c r="K83" s="154"/>
      <c r="L83" s="154">
        <v>0</v>
      </c>
      <c r="M83" s="154"/>
      <c r="N83" s="154"/>
      <c r="O83" s="154"/>
      <c r="P83" s="154"/>
      <c r="Q83" s="157">
        <v>62</v>
      </c>
      <c r="R83" s="157"/>
      <c r="S83" s="157"/>
      <c r="T83" s="157"/>
      <c r="U83" s="157"/>
      <c r="V83" s="154">
        <v>0</v>
      </c>
      <c r="W83" s="154"/>
      <c r="X83" s="154"/>
      <c r="Y83" s="154"/>
      <c r="Z83" s="154"/>
      <c r="AA83" s="154">
        <v>0</v>
      </c>
      <c r="AB83" s="154"/>
      <c r="AC83" s="154"/>
      <c r="AD83" s="154"/>
      <c r="AE83" s="154"/>
    </row>
    <row r="84" spans="2:31" x14ac:dyDescent="0.35">
      <c r="B84" s="157">
        <v>42</v>
      </c>
      <c r="C84" s="157"/>
      <c r="D84" s="157"/>
      <c r="E84" s="157"/>
      <c r="F84" s="157"/>
      <c r="G84" s="154">
        <v>0</v>
      </c>
      <c r="H84" s="154"/>
      <c r="I84" s="154"/>
      <c r="J84" s="154"/>
      <c r="K84" s="154"/>
      <c r="L84" s="154">
        <v>0</v>
      </c>
      <c r="M84" s="154"/>
      <c r="N84" s="154"/>
      <c r="O84" s="154"/>
      <c r="P84" s="154"/>
      <c r="Q84" s="157">
        <v>63</v>
      </c>
      <c r="R84" s="157"/>
      <c r="S84" s="157"/>
      <c r="T84" s="157"/>
      <c r="U84" s="157"/>
      <c r="V84" s="154">
        <v>0</v>
      </c>
      <c r="W84" s="154"/>
      <c r="X84" s="154"/>
      <c r="Y84" s="154"/>
      <c r="Z84" s="154"/>
      <c r="AA84" s="154">
        <v>0</v>
      </c>
      <c r="AB84" s="154"/>
      <c r="AC84" s="154"/>
      <c r="AD84" s="154"/>
      <c r="AE84" s="154"/>
    </row>
    <row r="85" spans="2:31" x14ac:dyDescent="0.35">
      <c r="B85" s="157">
        <v>43</v>
      </c>
      <c r="C85" s="157"/>
      <c r="D85" s="157"/>
      <c r="E85" s="157"/>
      <c r="F85" s="157"/>
      <c r="G85" s="154">
        <v>0</v>
      </c>
      <c r="H85" s="154"/>
      <c r="I85" s="154"/>
      <c r="J85" s="154"/>
      <c r="K85" s="154"/>
      <c r="L85" s="154">
        <v>0</v>
      </c>
      <c r="M85" s="154"/>
      <c r="N85" s="154"/>
      <c r="O85" s="154"/>
      <c r="P85" s="154"/>
      <c r="Q85" s="157">
        <v>64</v>
      </c>
      <c r="R85" s="157"/>
      <c r="S85" s="157"/>
      <c r="T85" s="157"/>
      <c r="U85" s="157"/>
      <c r="V85" s="154">
        <v>0</v>
      </c>
      <c r="W85" s="154"/>
      <c r="X85" s="154"/>
      <c r="Y85" s="154"/>
      <c r="Z85" s="154"/>
      <c r="AA85" s="154">
        <v>0</v>
      </c>
      <c r="AB85" s="154"/>
      <c r="AC85" s="154"/>
      <c r="AD85" s="154"/>
      <c r="AE85" s="154"/>
    </row>
    <row r="86" spans="2:31" x14ac:dyDescent="0.35">
      <c r="B86" s="157">
        <v>44</v>
      </c>
      <c r="C86" s="157"/>
      <c r="D86" s="157"/>
      <c r="E86" s="157"/>
      <c r="F86" s="157"/>
      <c r="G86" s="154">
        <v>0</v>
      </c>
      <c r="H86" s="154"/>
      <c r="I86" s="154"/>
      <c r="J86" s="154"/>
      <c r="K86" s="154"/>
      <c r="L86" s="154">
        <v>0</v>
      </c>
      <c r="M86" s="154"/>
      <c r="N86" s="154"/>
      <c r="O86" s="154"/>
      <c r="P86" s="154"/>
      <c r="Q86" s="157" t="s">
        <v>175</v>
      </c>
      <c r="R86" s="157"/>
      <c r="S86" s="157"/>
      <c r="T86" s="157"/>
      <c r="U86" s="157"/>
      <c r="V86" s="154">
        <v>0</v>
      </c>
      <c r="W86" s="154"/>
      <c r="X86" s="154"/>
      <c r="Y86" s="154"/>
      <c r="Z86" s="154"/>
      <c r="AA86" s="154">
        <v>0</v>
      </c>
      <c r="AB86" s="154"/>
      <c r="AC86" s="154"/>
      <c r="AD86" s="154"/>
      <c r="AE86" s="154"/>
    </row>
    <row r="87" spans="2:31" x14ac:dyDescent="0.35">
      <c r="B87" s="157">
        <v>45</v>
      </c>
      <c r="C87" s="157"/>
      <c r="D87" s="157"/>
      <c r="E87" s="157"/>
      <c r="F87" s="157"/>
      <c r="G87" s="154">
        <v>0</v>
      </c>
      <c r="H87" s="154"/>
      <c r="I87" s="154"/>
      <c r="J87" s="154"/>
      <c r="K87" s="154"/>
      <c r="L87" s="154">
        <v>0</v>
      </c>
      <c r="M87" s="154"/>
      <c r="N87" s="154"/>
      <c r="O87" s="154"/>
      <c r="P87" s="154"/>
      <c r="Q87" s="156"/>
      <c r="R87" s="156"/>
      <c r="S87" s="156"/>
      <c r="T87" s="156"/>
      <c r="U87" s="156"/>
      <c r="V87" s="155"/>
      <c r="W87" s="155"/>
      <c r="X87" s="155"/>
      <c r="Y87" s="155"/>
      <c r="Z87" s="155"/>
      <c r="AA87" s="155"/>
      <c r="AB87" s="155"/>
      <c r="AC87" s="155"/>
      <c r="AD87" s="155"/>
      <c r="AE87" s="155"/>
    </row>
    <row r="89" spans="2:31" x14ac:dyDescent="0.35">
      <c r="B89" s="170" t="s">
        <v>308</v>
      </c>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row>
    <row r="90" spans="2:31" x14ac:dyDescent="0.35">
      <c r="B90" s="153" t="s">
        <v>274</v>
      </c>
      <c r="C90" s="153"/>
      <c r="D90" s="153"/>
      <c r="E90" s="153"/>
      <c r="F90" s="153"/>
      <c r="G90" s="153"/>
      <c r="H90" s="153"/>
      <c r="I90" s="153"/>
      <c r="J90" s="153"/>
      <c r="K90" s="153"/>
      <c r="L90" s="153"/>
      <c r="M90" s="153"/>
      <c r="N90" s="153"/>
      <c r="O90" s="153"/>
      <c r="P90" s="153"/>
      <c r="Q90" s="153" t="s">
        <v>275</v>
      </c>
      <c r="R90" s="153"/>
      <c r="S90" s="153"/>
      <c r="T90" s="153"/>
      <c r="U90" s="153"/>
      <c r="V90" s="153"/>
      <c r="W90" s="153"/>
      <c r="X90" s="153"/>
      <c r="Y90" s="153"/>
      <c r="Z90" s="153"/>
      <c r="AA90" s="153"/>
      <c r="AB90" s="153"/>
      <c r="AC90" s="153"/>
      <c r="AD90" s="153"/>
      <c r="AE90" s="153"/>
    </row>
    <row r="91" spans="2:31" x14ac:dyDescent="0.35">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row>
    <row r="92" spans="2:31" x14ac:dyDescent="0.35">
      <c r="B92" s="205">
        <v>-10000000000000</v>
      </c>
      <c r="C92" s="206"/>
      <c r="D92" s="206"/>
      <c r="E92" s="206"/>
      <c r="F92" s="206"/>
      <c r="G92" s="206"/>
      <c r="H92" s="206"/>
      <c r="I92" s="206"/>
      <c r="J92" s="206"/>
      <c r="K92" s="206"/>
      <c r="L92" s="206"/>
      <c r="M92" s="206"/>
      <c r="N92" s="206"/>
      <c r="O92" s="206"/>
      <c r="P92" s="207"/>
      <c r="Q92" s="204">
        <v>-1500</v>
      </c>
      <c r="R92" s="204"/>
      <c r="S92" s="204"/>
      <c r="T92" s="204"/>
      <c r="U92" s="204"/>
      <c r="V92" s="204"/>
      <c r="W92" s="204"/>
      <c r="X92" s="204"/>
      <c r="Y92" s="204"/>
      <c r="Z92" s="204"/>
      <c r="AA92" s="204"/>
      <c r="AB92" s="204"/>
      <c r="AC92" s="204"/>
      <c r="AD92" s="204"/>
      <c r="AE92" s="204"/>
    </row>
    <row r="93" spans="2:31" x14ac:dyDescent="0.35">
      <c r="B93" s="152">
        <v>-6820</v>
      </c>
      <c r="C93" s="152"/>
      <c r="D93" s="152"/>
      <c r="E93" s="152"/>
      <c r="F93" s="152"/>
      <c r="G93" s="152"/>
      <c r="H93" s="152"/>
      <c r="I93" s="152"/>
      <c r="J93" s="152"/>
      <c r="K93" s="152"/>
      <c r="L93" s="152"/>
      <c r="M93" s="152"/>
      <c r="N93" s="152"/>
      <c r="O93" s="152"/>
      <c r="P93" s="152"/>
      <c r="Q93" s="204">
        <f>0.22*'Formula C'!AJ70</f>
        <v>0</v>
      </c>
      <c r="R93" s="204"/>
      <c r="S93" s="204"/>
      <c r="T93" s="204"/>
      <c r="U93" s="204"/>
      <c r="V93" s="204"/>
      <c r="W93" s="204"/>
      <c r="X93" s="204"/>
      <c r="Y93" s="204"/>
      <c r="Z93" s="204"/>
      <c r="AA93" s="204"/>
      <c r="AB93" s="204"/>
      <c r="AC93" s="204"/>
      <c r="AD93" s="204"/>
      <c r="AE93" s="204"/>
    </row>
    <row r="94" spans="2:31" x14ac:dyDescent="0.35">
      <c r="B94" s="152">
        <v>20601</v>
      </c>
      <c r="C94" s="152"/>
      <c r="D94" s="152"/>
      <c r="E94" s="152"/>
      <c r="F94" s="152"/>
      <c r="G94" s="152"/>
      <c r="H94" s="152"/>
      <c r="I94" s="152"/>
      <c r="J94" s="152"/>
      <c r="K94" s="152"/>
      <c r="L94" s="152"/>
      <c r="M94" s="152"/>
      <c r="N94" s="152"/>
      <c r="O94" s="152"/>
      <c r="P94" s="152"/>
      <c r="Q94" s="204">
        <f>4532+(('Formula C'!AJ70-20600)*0.25)</f>
        <v>-618</v>
      </c>
      <c r="R94" s="204"/>
      <c r="S94" s="204"/>
      <c r="T94" s="204"/>
      <c r="U94" s="204"/>
      <c r="V94" s="204"/>
      <c r="W94" s="204"/>
      <c r="X94" s="204"/>
      <c r="Y94" s="204"/>
      <c r="Z94" s="204"/>
      <c r="AA94" s="204"/>
      <c r="AB94" s="204"/>
      <c r="AC94" s="204"/>
      <c r="AD94" s="204"/>
      <c r="AE94" s="204"/>
    </row>
    <row r="95" spans="2:31" x14ac:dyDescent="0.35">
      <c r="B95" s="152">
        <v>25801</v>
      </c>
      <c r="C95" s="152"/>
      <c r="D95" s="152"/>
      <c r="E95" s="152"/>
      <c r="F95" s="152"/>
      <c r="G95" s="152"/>
      <c r="H95" s="152"/>
      <c r="I95" s="152"/>
      <c r="J95" s="152"/>
      <c r="K95" s="152"/>
      <c r="L95" s="152"/>
      <c r="M95" s="152"/>
      <c r="N95" s="152"/>
      <c r="O95" s="152"/>
      <c r="P95" s="152"/>
      <c r="Q95" s="204">
        <f>5832+(('Formula C'!AJ70-25800)*0.29)</f>
        <v>-1649.9999999999991</v>
      </c>
      <c r="R95" s="204"/>
      <c r="S95" s="204"/>
      <c r="T95" s="204"/>
      <c r="U95" s="204"/>
      <c r="V95" s="204"/>
      <c r="W95" s="204"/>
      <c r="X95" s="204"/>
      <c r="Y95" s="204"/>
      <c r="Z95" s="204"/>
      <c r="AA95" s="204"/>
      <c r="AB95" s="204"/>
      <c r="AC95" s="204"/>
      <c r="AD95" s="204"/>
      <c r="AE95" s="204"/>
    </row>
    <row r="96" spans="2:31" x14ac:dyDescent="0.35">
      <c r="B96" s="152">
        <v>31001</v>
      </c>
      <c r="C96" s="152"/>
      <c r="D96" s="152"/>
      <c r="E96" s="152"/>
      <c r="F96" s="152"/>
      <c r="G96" s="152"/>
      <c r="H96" s="152"/>
      <c r="I96" s="152"/>
      <c r="J96" s="152"/>
      <c r="K96" s="152"/>
      <c r="L96" s="152"/>
      <c r="M96" s="152"/>
      <c r="N96" s="152"/>
      <c r="O96" s="152"/>
      <c r="P96" s="152"/>
      <c r="Q96" s="204">
        <f>7340+(('Formula C'!AJ70-31000)*0.34)</f>
        <v>-3200</v>
      </c>
      <c r="R96" s="204"/>
      <c r="S96" s="204"/>
      <c r="T96" s="204"/>
      <c r="U96" s="204"/>
      <c r="V96" s="204"/>
      <c r="W96" s="204"/>
      <c r="X96" s="204"/>
      <c r="Y96" s="204"/>
      <c r="Z96" s="204"/>
      <c r="AA96" s="204"/>
      <c r="AB96" s="204"/>
      <c r="AC96" s="204"/>
      <c r="AD96" s="204"/>
      <c r="AE96" s="204"/>
    </row>
    <row r="97" spans="2:31" x14ac:dyDescent="0.35">
      <c r="B97" s="152">
        <v>36301</v>
      </c>
      <c r="C97" s="152"/>
      <c r="D97" s="152"/>
      <c r="E97" s="152"/>
      <c r="F97" s="152"/>
      <c r="G97" s="152"/>
      <c r="H97" s="152"/>
      <c r="I97" s="152"/>
      <c r="J97" s="152"/>
      <c r="K97" s="152"/>
      <c r="L97" s="152"/>
      <c r="M97" s="152"/>
      <c r="N97" s="152"/>
      <c r="O97" s="152"/>
      <c r="P97" s="152"/>
      <c r="Q97" s="204">
        <f>9142+(('Formula C'!AJ70-36300)*0.4)</f>
        <v>-5378</v>
      </c>
      <c r="R97" s="204"/>
      <c r="S97" s="204"/>
      <c r="T97" s="204"/>
      <c r="U97" s="204"/>
      <c r="V97" s="204"/>
      <c r="W97" s="204"/>
      <c r="X97" s="204"/>
      <c r="Y97" s="204"/>
      <c r="Z97" s="204"/>
      <c r="AA97" s="204"/>
      <c r="AB97" s="204"/>
      <c r="AC97" s="204"/>
      <c r="AD97" s="204"/>
      <c r="AE97" s="204"/>
    </row>
    <row r="98" spans="2:31" x14ac:dyDescent="0.35">
      <c r="B98" s="152">
        <v>41501</v>
      </c>
      <c r="C98" s="152"/>
      <c r="D98" s="152"/>
      <c r="E98" s="152"/>
      <c r="F98" s="152"/>
      <c r="G98" s="152"/>
      <c r="H98" s="152"/>
      <c r="I98" s="152"/>
      <c r="J98" s="152"/>
      <c r="K98" s="152"/>
      <c r="L98" s="152"/>
      <c r="M98" s="152"/>
      <c r="N98" s="152"/>
      <c r="O98" s="152"/>
      <c r="P98" s="152"/>
      <c r="Q98" s="204">
        <f>11222+(('Formula C'!AJ70-41500)*0.47)</f>
        <v>-8283</v>
      </c>
      <c r="R98" s="204"/>
      <c r="S98" s="204"/>
      <c r="T98" s="204"/>
      <c r="U98" s="204"/>
      <c r="V98" s="204"/>
      <c r="W98" s="204"/>
      <c r="X98" s="204"/>
      <c r="Y98" s="204"/>
      <c r="Z98" s="204"/>
      <c r="AA98" s="204"/>
      <c r="AB98" s="204"/>
      <c r="AC98" s="204"/>
      <c r="AD98" s="204"/>
      <c r="AE98" s="204"/>
    </row>
  </sheetData>
  <sheetProtection algorithmName="SHA-512" hashValue="v2S/pbnw5wCxRTGZHvDRMd5wgq6ReJfyfxsHkgeMuzPFIbo5pPHkEZnd5Ec0NnE9tL7CDezCs1W9c65bHFOSLw==" saltValue="CtO8JpPkr0sS6JqOAstXmw==" spinCount="100000" sheet="1" objects="1" scenarios="1"/>
  <mergeCells count="212">
    <mergeCell ref="Q41:AE41"/>
    <mergeCell ref="B43:AE43"/>
    <mergeCell ref="B44:P45"/>
    <mergeCell ref="Q44:AE45"/>
    <mergeCell ref="B97:P97"/>
    <mergeCell ref="Q97:AE97"/>
    <mergeCell ref="B98:P98"/>
    <mergeCell ref="Q98:AE98"/>
    <mergeCell ref="K9:AE10"/>
    <mergeCell ref="K11:AE12"/>
    <mergeCell ref="B94:P94"/>
    <mergeCell ref="Q94:AE94"/>
    <mergeCell ref="B95:P95"/>
    <mergeCell ref="Q95:AE95"/>
    <mergeCell ref="B96:P96"/>
    <mergeCell ref="Q96:AE96"/>
    <mergeCell ref="B89:AE89"/>
    <mergeCell ref="B90:P91"/>
    <mergeCell ref="Q90:AE91"/>
    <mergeCell ref="B92:P92"/>
    <mergeCell ref="Q92:AE92"/>
    <mergeCell ref="B93:P93"/>
    <mergeCell ref="Q93:AE93"/>
    <mergeCell ref="B49:P49"/>
    <mergeCell ref="B85:F85"/>
    <mergeCell ref="G85:K85"/>
    <mergeCell ref="L85:P85"/>
    <mergeCell ref="Q85:U85"/>
    <mergeCell ref="V85:Z85"/>
    <mergeCell ref="AA85:AE85"/>
    <mergeCell ref="Q51:AE51"/>
    <mergeCell ref="B46:P46"/>
    <mergeCell ref="Q46:AE46"/>
    <mergeCell ref="B47:P47"/>
    <mergeCell ref="Q47:AE47"/>
    <mergeCell ref="B48:P48"/>
    <mergeCell ref="Q48:AE48"/>
    <mergeCell ref="Q49:AE49"/>
    <mergeCell ref="B50:P50"/>
    <mergeCell ref="Q50:AE50"/>
    <mergeCell ref="B51:P51"/>
    <mergeCell ref="B84:F84"/>
    <mergeCell ref="G84:K84"/>
    <mergeCell ref="L84:P84"/>
    <mergeCell ref="Q84:U84"/>
    <mergeCell ref="V84:Z84"/>
    <mergeCell ref="AA84:AE84"/>
    <mergeCell ref="B83:F83"/>
    <mergeCell ref="B87:F87"/>
    <mergeCell ref="G87:K87"/>
    <mergeCell ref="L87:P87"/>
    <mergeCell ref="Q87:U87"/>
    <mergeCell ref="V87:Z87"/>
    <mergeCell ref="AA87:AE87"/>
    <mergeCell ref="B86:F86"/>
    <mergeCell ref="G86:K86"/>
    <mergeCell ref="L86:P86"/>
    <mergeCell ref="Q86:U86"/>
    <mergeCell ref="V86:Z86"/>
    <mergeCell ref="AA86:AE86"/>
    <mergeCell ref="G83:K83"/>
    <mergeCell ref="L83:P83"/>
    <mergeCell ref="Q83:U83"/>
    <mergeCell ref="V83:Z83"/>
    <mergeCell ref="AA83:AE83"/>
    <mergeCell ref="B82:F82"/>
    <mergeCell ref="G82:K82"/>
    <mergeCell ref="L82:P82"/>
    <mergeCell ref="Q82:U82"/>
    <mergeCell ref="V82:Z82"/>
    <mergeCell ref="AA82:AE82"/>
    <mergeCell ref="B81:F81"/>
    <mergeCell ref="G81:K81"/>
    <mergeCell ref="L81:P81"/>
    <mergeCell ref="Q81:U81"/>
    <mergeCell ref="V81:Z81"/>
    <mergeCell ref="AA81:AE81"/>
    <mergeCell ref="B80:F80"/>
    <mergeCell ref="G80:K80"/>
    <mergeCell ref="L80:P80"/>
    <mergeCell ref="Q80:U80"/>
    <mergeCell ref="V80:Z80"/>
    <mergeCell ref="AA80:AE80"/>
    <mergeCell ref="B79:F79"/>
    <mergeCell ref="G79:K79"/>
    <mergeCell ref="L79:P79"/>
    <mergeCell ref="Q79:U79"/>
    <mergeCell ref="V79:Z79"/>
    <mergeCell ref="AA79:AE79"/>
    <mergeCell ref="B78:F78"/>
    <mergeCell ref="G78:K78"/>
    <mergeCell ref="L78:P78"/>
    <mergeCell ref="Q78:U78"/>
    <mergeCell ref="V78:Z78"/>
    <mergeCell ref="AA78:AE78"/>
    <mergeCell ref="B77:F77"/>
    <mergeCell ref="G77:K77"/>
    <mergeCell ref="L77:P77"/>
    <mergeCell ref="Q77:U77"/>
    <mergeCell ref="V77:Z77"/>
    <mergeCell ref="AA77:AE77"/>
    <mergeCell ref="B76:F76"/>
    <mergeCell ref="G76:K76"/>
    <mergeCell ref="L76:P76"/>
    <mergeCell ref="Q76:U76"/>
    <mergeCell ref="V76:Z76"/>
    <mergeCell ref="AA76:AE76"/>
    <mergeCell ref="B75:F75"/>
    <mergeCell ref="G75:K75"/>
    <mergeCell ref="L75:P75"/>
    <mergeCell ref="Q75:U75"/>
    <mergeCell ref="V75:Z75"/>
    <mergeCell ref="AA75:AE75"/>
    <mergeCell ref="B74:F74"/>
    <mergeCell ref="G74:K74"/>
    <mergeCell ref="L74:P74"/>
    <mergeCell ref="Q74:U74"/>
    <mergeCell ref="V74:Z74"/>
    <mergeCell ref="AA74:AE74"/>
    <mergeCell ref="B73:F73"/>
    <mergeCell ref="G73:K73"/>
    <mergeCell ref="L73:P73"/>
    <mergeCell ref="Q73:U73"/>
    <mergeCell ref="V73:Z73"/>
    <mergeCell ref="AA73:AE73"/>
    <mergeCell ref="B72:F72"/>
    <mergeCell ref="G72:K72"/>
    <mergeCell ref="L72:P72"/>
    <mergeCell ref="Q72:U72"/>
    <mergeCell ref="V72:Z72"/>
    <mergeCell ref="AA72:AE72"/>
    <mergeCell ref="B71:F71"/>
    <mergeCell ref="G71:K71"/>
    <mergeCell ref="L71:P71"/>
    <mergeCell ref="Q71:U71"/>
    <mergeCell ref="V71:Z71"/>
    <mergeCell ref="AA71:AE71"/>
    <mergeCell ref="B70:F70"/>
    <mergeCell ref="G70:K70"/>
    <mergeCell ref="L70:P70"/>
    <mergeCell ref="Q70:U70"/>
    <mergeCell ref="V70:Z70"/>
    <mergeCell ref="AA70:AE70"/>
    <mergeCell ref="B69:F69"/>
    <mergeCell ref="G69:K69"/>
    <mergeCell ref="L69:P69"/>
    <mergeCell ref="Q69:U69"/>
    <mergeCell ref="V69:Z69"/>
    <mergeCell ref="AA69:AE69"/>
    <mergeCell ref="B68:F68"/>
    <mergeCell ref="G68:K68"/>
    <mergeCell ref="L68:P68"/>
    <mergeCell ref="Q68:U68"/>
    <mergeCell ref="V68:Z68"/>
    <mergeCell ref="AA68:AE68"/>
    <mergeCell ref="AA63:AE66"/>
    <mergeCell ref="B67:F67"/>
    <mergeCell ref="G67:K67"/>
    <mergeCell ref="L67:P67"/>
    <mergeCell ref="Q67:U67"/>
    <mergeCell ref="V67:Z67"/>
    <mergeCell ref="AA67:AE67"/>
    <mergeCell ref="B59:P59"/>
    <mergeCell ref="Q59:AE59"/>
    <mergeCell ref="B60:P60"/>
    <mergeCell ref="Q60:AE60"/>
    <mergeCell ref="B62:AE62"/>
    <mergeCell ref="B63:F66"/>
    <mergeCell ref="G63:K66"/>
    <mergeCell ref="L63:P66"/>
    <mergeCell ref="Q63:U66"/>
    <mergeCell ref="V63:Z66"/>
    <mergeCell ref="B56:P56"/>
    <mergeCell ref="Q56:AE56"/>
    <mergeCell ref="B57:P57"/>
    <mergeCell ref="Q57:AE57"/>
    <mergeCell ref="B58:P58"/>
    <mergeCell ref="Q58:AE58"/>
    <mergeCell ref="C26:AE29"/>
    <mergeCell ref="C30:AE31"/>
    <mergeCell ref="C32:AE32"/>
    <mergeCell ref="B53:AE53"/>
    <mergeCell ref="B54:P55"/>
    <mergeCell ref="Q54:AE55"/>
    <mergeCell ref="B34:AE34"/>
    <mergeCell ref="B35:P36"/>
    <mergeCell ref="Q35:AE36"/>
    <mergeCell ref="B37:P37"/>
    <mergeCell ref="Q37:AE37"/>
    <mergeCell ref="B38:P38"/>
    <mergeCell ref="Q38:AE38"/>
    <mergeCell ref="B39:P39"/>
    <mergeCell ref="Q39:AE39"/>
    <mergeCell ref="B40:P40"/>
    <mergeCell ref="Q40:AE40"/>
    <mergeCell ref="B41:P41"/>
    <mergeCell ref="J13:AE13"/>
    <mergeCell ref="K14:AE14"/>
    <mergeCell ref="K15:AE15"/>
    <mergeCell ref="K16:AE16"/>
    <mergeCell ref="K17:AE17"/>
    <mergeCell ref="B18:I25"/>
    <mergeCell ref="K18:AE21"/>
    <mergeCell ref="K22:AE25"/>
    <mergeCell ref="B2:AE2"/>
    <mergeCell ref="B3:I4"/>
    <mergeCell ref="J3:AE4"/>
    <mergeCell ref="B5:I17"/>
    <mergeCell ref="J5:AE5"/>
    <mergeCell ref="K6:AE6"/>
    <mergeCell ref="K7:AE7"/>
    <mergeCell ref="J8:A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789D-036B-4BA4-A95D-0911ED5B6BF4}">
  <sheetPr>
    <tabColor theme="9" tint="0.79998168889431442"/>
    <pageSetUpPr fitToPage="1"/>
  </sheetPr>
  <dimension ref="B1:AR14"/>
  <sheetViews>
    <sheetView showGridLines="0" showRowColHeaders="0" workbookViewId="0">
      <selection activeCell="O5" sqref="O5:S6"/>
    </sheetView>
  </sheetViews>
  <sheetFormatPr defaultColWidth="3" defaultRowHeight="14.5" x14ac:dyDescent="0.35"/>
  <sheetData>
    <row r="1" spans="2:44" ht="15" thickBot="1" x14ac:dyDescent="0.4"/>
    <row r="2" spans="2:44" ht="15" thickTop="1" x14ac:dyDescent="0.35">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16"/>
      <c r="AM2" s="250" t="s">
        <v>341</v>
      </c>
      <c r="AN2" s="251"/>
      <c r="AO2" s="251"/>
      <c r="AP2" s="251"/>
      <c r="AQ2" s="251"/>
      <c r="AR2" s="252"/>
    </row>
    <row r="3" spans="2:44" ht="15" thickBot="1" x14ac:dyDescent="0.4">
      <c r="B3" s="56"/>
      <c r="C3" s="263" t="s">
        <v>388</v>
      </c>
      <c r="D3" s="263"/>
      <c r="E3" s="263"/>
      <c r="F3" s="263"/>
      <c r="G3" s="263"/>
      <c r="I3" s="263" t="s">
        <v>389</v>
      </c>
      <c r="J3" s="263"/>
      <c r="K3" s="263"/>
      <c r="L3" s="263"/>
      <c r="M3" s="263"/>
      <c r="O3" s="263" t="str">
        <f>IF(C5="Independent","Student AGI","Parent AGI")</f>
        <v>Parent AGI</v>
      </c>
      <c r="P3" s="263"/>
      <c r="Q3" s="263"/>
      <c r="R3" s="263"/>
      <c r="S3" s="263"/>
      <c r="U3" s="263" t="str">
        <f>IF(C5="Independent","Student Marital Status","Parent Marital Status")</f>
        <v>Parent Marital Status</v>
      </c>
      <c r="V3" s="263"/>
      <c r="W3" s="263"/>
      <c r="X3" s="263"/>
      <c r="Y3" s="263"/>
      <c r="AA3" s="263" t="str">
        <f>IF(C5="Independent","Is Student a
Parent?","N/A")</f>
        <v>N/A</v>
      </c>
      <c r="AB3" s="263"/>
      <c r="AC3" s="263"/>
      <c r="AD3" s="263"/>
      <c r="AE3" s="263"/>
      <c r="AG3" s="263" t="s">
        <v>352</v>
      </c>
      <c r="AH3" s="263"/>
      <c r="AI3" s="263"/>
      <c r="AJ3" s="263"/>
      <c r="AK3" s="263"/>
      <c r="AL3" s="17"/>
      <c r="AM3" s="253"/>
      <c r="AN3" s="254"/>
      <c r="AO3" s="254"/>
      <c r="AP3" s="254"/>
      <c r="AQ3" s="254"/>
      <c r="AR3" s="255"/>
    </row>
    <row r="4" spans="2:44" ht="15" thickTop="1" x14ac:dyDescent="0.35">
      <c r="B4" s="56"/>
      <c r="C4" s="263"/>
      <c r="D4" s="263"/>
      <c r="E4" s="263"/>
      <c r="F4" s="263"/>
      <c r="G4" s="263"/>
      <c r="I4" s="263"/>
      <c r="J4" s="263"/>
      <c r="K4" s="263"/>
      <c r="L4" s="263"/>
      <c r="M4" s="263"/>
      <c r="O4" s="263"/>
      <c r="P4" s="263"/>
      <c r="Q4" s="263"/>
      <c r="R4" s="263"/>
      <c r="S4" s="263"/>
      <c r="U4" s="263"/>
      <c r="V4" s="263"/>
      <c r="W4" s="263"/>
      <c r="X4" s="263"/>
      <c r="Y4" s="263"/>
      <c r="AA4" s="263"/>
      <c r="AB4" s="263"/>
      <c r="AC4" s="263"/>
      <c r="AD4" s="263"/>
      <c r="AE4" s="263"/>
      <c r="AG4" s="263"/>
      <c r="AH4" s="263"/>
      <c r="AI4" s="263"/>
      <c r="AJ4" s="263"/>
      <c r="AK4" s="263"/>
      <c r="AL4" s="17"/>
    </row>
    <row r="5" spans="2:44" x14ac:dyDescent="0.35">
      <c r="B5" s="56"/>
      <c r="C5" s="276" t="s">
        <v>390</v>
      </c>
      <c r="D5" s="276"/>
      <c r="E5" s="276"/>
      <c r="F5" s="276"/>
      <c r="G5" s="276"/>
      <c r="I5" s="276" t="s">
        <v>397</v>
      </c>
      <c r="J5" s="276"/>
      <c r="K5" s="276"/>
      <c r="L5" s="276"/>
      <c r="M5" s="276"/>
      <c r="O5" s="277">
        <v>120000</v>
      </c>
      <c r="P5" s="277"/>
      <c r="Q5" s="277"/>
      <c r="R5" s="277"/>
      <c r="S5" s="277"/>
      <c r="U5" s="276" t="s">
        <v>306</v>
      </c>
      <c r="V5" s="276"/>
      <c r="W5" s="276"/>
      <c r="X5" s="276"/>
      <c r="Y5" s="276"/>
      <c r="AA5" s="256"/>
      <c r="AB5" s="256"/>
      <c r="AC5" s="256"/>
      <c r="AD5" s="256"/>
      <c r="AE5" s="256"/>
      <c r="AG5" s="256">
        <v>6</v>
      </c>
      <c r="AH5" s="256"/>
      <c r="AI5" s="256"/>
      <c r="AJ5" s="256"/>
      <c r="AK5" s="256"/>
      <c r="AL5" s="17"/>
    </row>
    <row r="6" spans="2:44" x14ac:dyDescent="0.35">
      <c r="B6" s="56"/>
      <c r="C6" s="276"/>
      <c r="D6" s="276"/>
      <c r="E6" s="276"/>
      <c r="F6" s="276"/>
      <c r="G6" s="276"/>
      <c r="I6" s="276"/>
      <c r="J6" s="276"/>
      <c r="K6" s="276"/>
      <c r="L6" s="276"/>
      <c r="M6" s="276"/>
      <c r="O6" s="277"/>
      <c r="P6" s="277"/>
      <c r="Q6" s="277"/>
      <c r="R6" s="277"/>
      <c r="S6" s="277"/>
      <c r="U6" s="276"/>
      <c r="V6" s="276"/>
      <c r="W6" s="276"/>
      <c r="X6" s="276"/>
      <c r="Y6" s="276"/>
      <c r="AA6" s="256"/>
      <c r="AB6" s="256"/>
      <c r="AC6" s="256"/>
      <c r="AD6" s="256"/>
      <c r="AE6" s="256"/>
      <c r="AG6" s="256"/>
      <c r="AH6" s="256"/>
      <c r="AI6" s="256"/>
      <c r="AJ6" s="256"/>
      <c r="AK6" s="256"/>
      <c r="AL6" s="17"/>
    </row>
    <row r="7" spans="2:44" ht="15" thickBot="1" x14ac:dyDescent="0.4">
      <c r="B7" s="57"/>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8"/>
    </row>
    <row r="8" spans="2:44" ht="15" thickTop="1" x14ac:dyDescent="0.35"/>
    <row r="9" spans="2:44" ht="14.4" customHeight="1" x14ac:dyDescent="0.35">
      <c r="B9" s="257" t="s">
        <v>443</v>
      </c>
      <c r="C9" s="258"/>
      <c r="D9" s="258"/>
      <c r="E9" s="258"/>
      <c r="F9" s="258"/>
      <c r="G9" s="258"/>
      <c r="H9" s="259"/>
      <c r="J9" s="257" t="s">
        <v>444</v>
      </c>
      <c r="K9" s="258"/>
      <c r="L9" s="258"/>
      <c r="M9" s="258"/>
      <c r="N9" s="258"/>
      <c r="O9" s="258"/>
      <c r="P9" s="259"/>
      <c r="R9" s="257" t="s">
        <v>319</v>
      </c>
      <c r="S9" s="258"/>
      <c r="T9" s="258"/>
      <c r="U9" s="258"/>
      <c r="V9" s="258"/>
      <c r="W9" s="258"/>
      <c r="X9" s="259"/>
      <c r="Z9" s="257" t="s">
        <v>321</v>
      </c>
      <c r="AA9" s="258"/>
      <c r="AB9" s="258"/>
      <c r="AC9" s="258"/>
      <c r="AD9" s="258"/>
      <c r="AE9" s="258"/>
      <c r="AF9" s="259"/>
    </row>
    <row r="10" spans="2:44" x14ac:dyDescent="0.35">
      <c r="B10" s="260"/>
      <c r="C10" s="261"/>
      <c r="D10" s="261"/>
      <c r="E10" s="261"/>
      <c r="F10" s="261"/>
      <c r="G10" s="261"/>
      <c r="H10" s="262"/>
      <c r="J10" s="260"/>
      <c r="K10" s="261"/>
      <c r="L10" s="261"/>
      <c r="M10" s="261"/>
      <c r="N10" s="261"/>
      <c r="O10" s="261"/>
      <c r="P10" s="262"/>
      <c r="R10" s="260"/>
      <c r="S10" s="261"/>
      <c r="T10" s="261"/>
      <c r="U10" s="261"/>
      <c r="V10" s="261"/>
      <c r="W10" s="261"/>
      <c r="X10" s="262"/>
      <c r="Z10" s="260"/>
      <c r="AA10" s="261"/>
      <c r="AB10" s="261"/>
      <c r="AC10" s="261"/>
      <c r="AD10" s="261"/>
      <c r="AE10" s="261"/>
      <c r="AF10" s="262"/>
    </row>
    <row r="11" spans="2:44" x14ac:dyDescent="0.35">
      <c r="B11" s="270">
        <f>IF(AND(C5="Dependent",I5="HI - Hawaii",U5="Unmarried"),VLOOKUP(AG5,'Max &amp; Min Poverty Tables'!BE7:CC14,10,TRUE),
IF(AND(C5="Dependent",I5="HI - Hawaii",U5="Married"),VLOOKUP(AG5,'Max &amp; Min Poverty Tables'!BE21:CC28,10,TRUE),
IF(AND(C5="Independent",I5="HI - Hawaii",U5="Unmarried",AA5="YES"),VLOOKUP(AG5,'Max &amp; Min Poverty Tables'!BE7:CC14,10,TRUE),
IF(AND(C5="Independent",I5="HI - Hawaii",U5="Married",AA5="YES"),VLOOKUP(AG5,'Max &amp; Min Poverty Tables'!BE51:CC58,10,TRUE),
IF(AND(C5="Independent",I5="HI - Hawaii",,AA5="NO"),VLOOKUP(AG5,'Max &amp; Min Poverty Tables'!BE65:CC73,10,TRUE),
IF(AND(C5="Dependent",I5="AK - Alaska",U5="Unmarried"),VLOOKUP(AG5,'Max &amp; Min Poverty Tables'!AD7:BB14,10,TRUE),
IF(AND(C5="Dependent",I5="AK - Alaska",U5="Married"),VLOOKUP(AG5,'Max &amp; Min Poverty Tables'!AD21:BB28,10,TRUE),
IF(AND(C5="Independent",I5="AK - Alaska",U5="Unmarried",AA5="YES"),VLOOKUP(AG5,'Max &amp; Min Poverty Tables'!AD37:BB44,10,TRUE),
IF(AND(C5="Independent",I5="AK - Alaska",U5="Married",AA5="YES"),VLOOKUP(AG5,'Max &amp; Min Poverty Tables'!AD51:BB58,10,TRUE),
IF(AND(C5="Independent",I5="HI - Hawaii",,AA5="NO"),VLOOKUP(AG5,'Max &amp; Min Poverty Tables'!AD65:BB73,10,TRUE),
IF(AND(C5="Dependent",I5&lt;&gt;"AK - Alaska",I5&lt;&gt;"HI - Hawaii",U5="Unmarried"),VLOOKUP(AG5,'Max &amp; Min Poverty Tables'!C7:AA14,10,TRUE),
IF(AND(C5="Dependent",I5&lt;&gt;"AK - Alaska",I5&lt;&gt;"HI - Hawaii",U5="Married"),VLOOKUP(AG5,'Max &amp; Min Poverty Tables'!C21:AA28,10,TRUE),
IF(AND(C5="Independent",I5&lt;&gt;"AK - Alaska",I5&lt;&gt;"HI - Hawaii",U5="Unmarried",AA5="YES"),VLOOKUP(AG5,'Max &amp; Min Poverty Tables'!C37:AA44,10,TRUE),
IF(AND(C5="Independent",I5&lt;&gt;"AK - Alaska",I5&lt;&gt;"HI - Hawaii",U5="Married",AA5="YES"),VLOOKUP(AG5,'Max &amp; Min Poverty Tables'!C51:AA58,10,TRUE),
IF(AND(C5="Independent",I5&lt;&gt;"AK - Alaska",I5&lt;&gt;"HI - Hawaii",AA5="NO"),VLOOKUP(AG5,'Max &amp; Min Poverty Tables'!C65:AA73,10,TRUE),0)))))))))))))))</f>
        <v>65083</v>
      </c>
      <c r="C11" s="271"/>
      <c r="D11" s="271"/>
      <c r="E11" s="271"/>
      <c r="F11" s="271"/>
      <c r="G11" s="271"/>
      <c r="H11" s="272"/>
      <c r="J11" s="270">
        <f>IF(AND(C5="Dependent",I5="HI - Hawaii",U5="Unmarried"),VLOOKUP(AG5,'Max &amp; Min Poverty Tables'!BE7:CC14,18,TRUE),
IF(AND(C5="Dependent",I5="HI - Hawaii",U5="Married"),VLOOKUP(AG5,'Max &amp; Min Poverty Tables'!BE21:CC28,18,TRUE),
IF(AND(C5="Independent",I5="HI - Hawaii",U5="Unmarried",AA5="YES"),VLOOKUP(AG5,'Max &amp; Min Poverty Tables'!BE7:CC14,18,TRUE),
IF(AND(C5="Independent",I5="HI - Hawaii",U5="Married",AA5="YES"),VLOOKUP(AG5,'Max &amp; Min Poverty Tables'!BE51:CC58,18,TRUE),
IF(AND(C5="Independent",I5="HI - Hawaii",,AA5="NO"),VLOOKUP(AG5,'Max &amp; Min Poverty Tables'!BE65:CC73,18,TRUE),
IF(AND(C5="Dependent",I5="AK - Alaska",U5="Unmarried"),VLOOKUP(AG5,'Max &amp; Min Poverty Tables'!AD7:BB14,18,TRUE),
IF(AND(C5="Dependent",I5="AK - Alaska",U5="Married"),VLOOKUP(AG5,'Max &amp; Min Poverty Tables'!AD21:BB28,18,TRUE),
IF(AND(C5="Independent",I5="AK - Alaska",U5="Unmarried",AA5="YES"),VLOOKUP(AG5,'Max &amp; Min Poverty Tables'!AD37:BB44,18,TRUE),
IF(AND(C5="Independent",I5="AK - Alaska",U5="Married",AA5="YES"),VLOOKUP(AG5,'Max &amp; Min Poverty Tables'!AD51:BB58,18,TRUE),
IF(AND(C5="Independent",I5="HI - Hawaii",,AA5="NO"),VLOOKUP(AG5,'Max &amp; Min Poverty Tables'!AD65:BB73,18,TRUE),
IF(AND(C5="Dependent",I5&lt;&gt;"AK - Alaska",I5&lt;&gt;"HI - Hawaii",U5="Unmarried"),VLOOKUP(AG5,'Max &amp; Min Poverty Tables'!C7:AA14,18,TRUE),
IF(AND(C5="Dependent",I5&lt;&gt;"AK - Alaska",I5&lt;&gt;"HI - Hawaii",U5="Married"),VLOOKUP(AG5,'Max &amp; Min Poverty Tables'!C21:AA28,18,TRUE),
IF(AND(C5="Independent",I5&lt;&gt;"AK - Alaska",I5&lt;&gt;"HI - Hawaii",U5="Unmarried",AA5="YES"),VLOOKUP(AG5,'Max &amp; Min Poverty Tables'!C37:AA44,18,TRUE),
IF(AND(C5="Independent",I5&lt;&gt;"AK - Alaska",I5&lt;&gt;"HI - Hawaii",U5="Married",AA5="YES"),VLOOKUP(AG5,'Max &amp; Min Poverty Tables'!C51:AA58,18,TRUE),
IF(AND(C5="Independent",I5&lt;&gt;"AK - Alaska",I5&lt;&gt;"HI - Hawaii",AA5="NO"),VLOOKUP(AG5,'Max &amp; Min Poverty Tables'!C65:AA73,18,TRUE),0)))))))))))))))</f>
        <v>102273</v>
      </c>
      <c r="K11" s="271"/>
      <c r="L11" s="271"/>
      <c r="M11" s="271"/>
      <c r="N11" s="271"/>
      <c r="O11" s="271"/>
      <c r="P11" s="272"/>
      <c r="R11" s="264" t="str">
        <f>IF(AND(0&lt;O5,O5&lt;B11),"YES","NO")</f>
        <v>NO</v>
      </c>
      <c r="S11" s="265"/>
      <c r="T11" s="265"/>
      <c r="U11" s="265"/>
      <c r="V11" s="265"/>
      <c r="W11" s="265"/>
      <c r="X11" s="266"/>
      <c r="Z11" s="264" t="str">
        <f>IF(AND(0&lt;O5,O5&lt;J11),"YES","NO")</f>
        <v>NO</v>
      </c>
      <c r="AA11" s="265"/>
      <c r="AB11" s="265"/>
      <c r="AC11" s="265"/>
      <c r="AD11" s="265"/>
      <c r="AE11" s="265"/>
      <c r="AF11" s="266"/>
    </row>
    <row r="12" spans="2:44" x14ac:dyDescent="0.35">
      <c r="B12" s="273"/>
      <c r="C12" s="274"/>
      <c r="D12" s="274"/>
      <c r="E12" s="274"/>
      <c r="F12" s="274"/>
      <c r="G12" s="274"/>
      <c r="H12" s="275"/>
      <c r="J12" s="273"/>
      <c r="K12" s="274"/>
      <c r="L12" s="274"/>
      <c r="M12" s="274"/>
      <c r="N12" s="274"/>
      <c r="O12" s="274"/>
      <c r="P12" s="275"/>
      <c r="R12" s="267"/>
      <c r="S12" s="268"/>
      <c r="T12" s="268"/>
      <c r="U12" s="268"/>
      <c r="V12" s="268"/>
      <c r="W12" s="268"/>
      <c r="X12" s="269"/>
      <c r="Z12" s="267"/>
      <c r="AA12" s="268"/>
      <c r="AB12" s="268"/>
      <c r="AC12" s="268"/>
      <c r="AD12" s="268"/>
      <c r="AE12" s="268"/>
      <c r="AF12" s="269"/>
    </row>
    <row r="14" spans="2:44" x14ac:dyDescent="0.35">
      <c r="B14" t="s">
        <v>445</v>
      </c>
    </row>
  </sheetData>
  <sheetProtection algorithmName="SHA-512" hashValue="a0SIgULC3+Uanztij7zO7rTyWB2GTboML6hJEJ5hbJxm7Zkgv63B8tBGuS9nVOFViTcqcaG+tmAswL8NPILGAg==" saltValue="e7ZajEykaLOPi6XG5cuz4Q==" spinCount="100000" sheet="1" objects="1" scenarios="1"/>
  <mergeCells count="21">
    <mergeCell ref="Z11:AF12"/>
    <mergeCell ref="Z9:AF10"/>
    <mergeCell ref="J11:P12"/>
    <mergeCell ref="B11:H12"/>
    <mergeCell ref="I3:M4"/>
    <mergeCell ref="O3:S4"/>
    <mergeCell ref="U3:Y4"/>
    <mergeCell ref="C5:G6"/>
    <mergeCell ref="I5:M6"/>
    <mergeCell ref="O5:S6"/>
    <mergeCell ref="U5:Y6"/>
    <mergeCell ref="C3:G4"/>
    <mergeCell ref="R9:X10"/>
    <mergeCell ref="R11:X12"/>
    <mergeCell ref="AA3:AE4"/>
    <mergeCell ref="AA5:AE6"/>
    <mergeCell ref="AM2:AR3"/>
    <mergeCell ref="AG5:AK6"/>
    <mergeCell ref="B9:H10"/>
    <mergeCell ref="J9:P10"/>
    <mergeCell ref="AG3:AK4"/>
  </mergeCells>
  <pageMargins left="0.7" right="0.7" top="0.75" bottom="0.75" header="0.3" footer="0.3"/>
  <pageSetup scale="9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1E9A49E4-B108-4A94-B6D5-C7372DFAFA61}">
          <x14:formula1>
            <xm:f>'Dropdown Menus'!$A$20:$A$21</xm:f>
          </x14:formula1>
          <xm:sqref>C5:G6</xm:sqref>
        </x14:dataValidation>
        <x14:dataValidation type="list" allowBlank="1" showInputMessage="1" showErrorMessage="1" xr:uid="{D76C1728-138B-42D6-B412-5F4401CC3975}">
          <x14:formula1>
            <xm:f>'Dropdown Menus'!$A$10:$A$11</xm:f>
          </x14:formula1>
          <xm:sqref>U5:Y6</xm:sqref>
        </x14:dataValidation>
        <x14:dataValidation type="list" allowBlank="1" showInputMessage="1" showErrorMessage="1" xr:uid="{61860794-59DC-4051-AC56-C90391145682}">
          <x14:formula1>
            <xm:f>'Dropdown Menus'!$A$23:$A$73</xm:f>
          </x14:formula1>
          <xm:sqref>I5:M6</xm:sqref>
        </x14:dataValidation>
        <x14:dataValidation type="list" allowBlank="1" showInputMessage="1" showErrorMessage="1" xr:uid="{7B67A9A4-EFFA-4408-A485-63E7661B48A9}">
          <x14:formula1>
            <xm:f>'Dropdown Menus'!$A$7:$A$8</xm:f>
          </x14:formula1>
          <xm:sqref>AA5:AE6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9414-FDB9-4C9D-9470-39FFC7388CF3}">
  <sheetPr>
    <tabColor theme="9" tint="0.79998168889431442"/>
  </sheetPr>
  <dimension ref="B1:CD77"/>
  <sheetViews>
    <sheetView showGridLines="0" showRowColHeaders="0" workbookViewId="0"/>
  </sheetViews>
  <sheetFormatPr defaultColWidth="3" defaultRowHeight="14.5" x14ac:dyDescent="0.35"/>
  <cols>
    <col min="1" max="2" width="1.36328125" customWidth="1"/>
    <col min="28" max="29" width="1.36328125" customWidth="1"/>
    <col min="30" max="30" width="3" customWidth="1"/>
    <col min="55" max="56" width="1.36328125" customWidth="1"/>
    <col min="82" max="82" width="1.36328125" customWidth="1"/>
  </cols>
  <sheetData>
    <row r="1" spans="2:82" ht="7.25" customHeight="1" thickBot="1" x14ac:dyDescent="0.4"/>
    <row r="2" spans="2:82" ht="15" thickTop="1" x14ac:dyDescent="0.35">
      <c r="B2" s="46"/>
      <c r="C2" s="293" t="s">
        <v>365</v>
      </c>
      <c r="D2" s="293"/>
      <c r="E2" s="293"/>
      <c r="F2" s="293"/>
      <c r="G2" s="293"/>
      <c r="H2" s="293"/>
      <c r="I2" s="293"/>
      <c r="J2" s="293"/>
      <c r="K2" s="293"/>
      <c r="L2" s="293"/>
      <c r="M2" s="293"/>
      <c r="N2" s="293"/>
      <c r="O2" s="293"/>
      <c r="P2" s="293"/>
      <c r="Q2" s="293"/>
      <c r="R2" s="293"/>
      <c r="S2" s="293"/>
      <c r="T2" s="293"/>
      <c r="U2" s="293"/>
      <c r="V2" s="293"/>
      <c r="W2" s="293"/>
      <c r="X2" s="293"/>
      <c r="Y2" s="293"/>
      <c r="Z2" s="293"/>
      <c r="AA2" s="293"/>
      <c r="AB2" s="47"/>
      <c r="AC2" s="46"/>
      <c r="AD2" s="293" t="s">
        <v>366</v>
      </c>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47"/>
      <c r="BD2" s="46"/>
      <c r="BE2" s="293" t="s">
        <v>367</v>
      </c>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47"/>
    </row>
    <row r="3" spans="2:82" ht="7.25" customHeight="1" x14ac:dyDescent="0.35">
      <c r="B3" s="48"/>
      <c r="AB3" s="49"/>
      <c r="AC3" s="48"/>
      <c r="BC3" s="49"/>
      <c r="BD3" s="48"/>
      <c r="CD3" s="49"/>
    </row>
    <row r="4" spans="2:82" ht="14.4" customHeight="1" x14ac:dyDescent="0.35">
      <c r="B4" s="48"/>
      <c r="C4" s="300" t="s">
        <v>351</v>
      </c>
      <c r="D4" s="301"/>
      <c r="E4" s="301"/>
      <c r="F4" s="301"/>
      <c r="G4" s="301"/>
      <c r="H4" s="301"/>
      <c r="I4" s="301"/>
      <c r="J4" s="301"/>
      <c r="K4" s="301"/>
      <c r="L4" s="301"/>
      <c r="M4" s="301"/>
      <c r="N4" s="301"/>
      <c r="O4" s="301"/>
      <c r="P4" s="301"/>
      <c r="Q4" s="301"/>
      <c r="R4" s="301"/>
      <c r="S4" s="301"/>
      <c r="T4" s="301"/>
      <c r="U4" s="301"/>
      <c r="V4" s="301"/>
      <c r="W4" s="301"/>
      <c r="X4" s="301"/>
      <c r="Y4" s="301"/>
      <c r="Z4" s="301"/>
      <c r="AA4" s="302"/>
      <c r="AB4" s="49"/>
      <c r="AC4" s="48"/>
      <c r="AD4" s="300" t="s">
        <v>351</v>
      </c>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2"/>
      <c r="BC4" s="49"/>
      <c r="BD4" s="48"/>
      <c r="BE4" s="300" t="s">
        <v>351</v>
      </c>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2"/>
      <c r="CD4" s="49"/>
    </row>
    <row r="5" spans="2:82" ht="14.4" customHeight="1" x14ac:dyDescent="0.35">
      <c r="B5" s="48"/>
      <c r="C5" s="303" t="s">
        <v>352</v>
      </c>
      <c r="D5" s="303"/>
      <c r="E5" s="303"/>
      <c r="F5" s="303"/>
      <c r="G5" s="304" t="s">
        <v>353</v>
      </c>
      <c r="H5" s="305"/>
      <c r="I5" s="305"/>
      <c r="J5" s="305"/>
      <c r="K5" s="306"/>
      <c r="L5" s="304" t="s">
        <v>355</v>
      </c>
      <c r="M5" s="305"/>
      <c r="N5" s="305"/>
      <c r="O5" s="305"/>
      <c r="P5" s="305"/>
      <c r="Q5" s="305"/>
      <c r="R5" s="305"/>
      <c r="S5" s="306"/>
      <c r="T5" s="304" t="s">
        <v>358</v>
      </c>
      <c r="U5" s="305"/>
      <c r="V5" s="305"/>
      <c r="W5" s="305"/>
      <c r="X5" s="305"/>
      <c r="Y5" s="305"/>
      <c r="Z5" s="305"/>
      <c r="AA5" s="306"/>
      <c r="AB5" s="49"/>
      <c r="AC5" s="48"/>
      <c r="AD5" s="303" t="s">
        <v>352</v>
      </c>
      <c r="AE5" s="303"/>
      <c r="AF5" s="303"/>
      <c r="AG5" s="303"/>
      <c r="AH5" s="304" t="s">
        <v>353</v>
      </c>
      <c r="AI5" s="305"/>
      <c r="AJ5" s="305"/>
      <c r="AK5" s="305"/>
      <c r="AL5" s="306"/>
      <c r="AM5" s="304" t="s">
        <v>355</v>
      </c>
      <c r="AN5" s="305"/>
      <c r="AO5" s="305"/>
      <c r="AP5" s="305"/>
      <c r="AQ5" s="305"/>
      <c r="AR5" s="305"/>
      <c r="AS5" s="305"/>
      <c r="AT5" s="306"/>
      <c r="AU5" s="304" t="s">
        <v>358</v>
      </c>
      <c r="AV5" s="305"/>
      <c r="AW5" s="305"/>
      <c r="AX5" s="305"/>
      <c r="AY5" s="305"/>
      <c r="AZ5" s="305"/>
      <c r="BA5" s="305"/>
      <c r="BB5" s="306"/>
      <c r="BC5" s="49"/>
      <c r="BD5" s="48"/>
      <c r="BE5" s="303" t="s">
        <v>352</v>
      </c>
      <c r="BF5" s="303"/>
      <c r="BG5" s="303"/>
      <c r="BH5" s="303"/>
      <c r="BI5" s="304" t="s">
        <v>353</v>
      </c>
      <c r="BJ5" s="305"/>
      <c r="BK5" s="305"/>
      <c r="BL5" s="305"/>
      <c r="BM5" s="306"/>
      <c r="BN5" s="304" t="s">
        <v>355</v>
      </c>
      <c r="BO5" s="305"/>
      <c r="BP5" s="305"/>
      <c r="BQ5" s="305"/>
      <c r="BR5" s="305"/>
      <c r="BS5" s="305"/>
      <c r="BT5" s="305"/>
      <c r="BU5" s="306"/>
      <c r="BV5" s="304" t="s">
        <v>358</v>
      </c>
      <c r="BW5" s="305"/>
      <c r="BX5" s="305"/>
      <c r="BY5" s="305"/>
      <c r="BZ5" s="305"/>
      <c r="CA5" s="305"/>
      <c r="CB5" s="305"/>
      <c r="CC5" s="306"/>
      <c r="CD5" s="49"/>
    </row>
    <row r="6" spans="2:82" ht="14.4" customHeight="1" x14ac:dyDescent="0.35">
      <c r="B6" s="48"/>
      <c r="C6" s="303"/>
      <c r="D6" s="303"/>
      <c r="E6" s="303"/>
      <c r="F6" s="303"/>
      <c r="G6" s="307"/>
      <c r="H6" s="308"/>
      <c r="I6" s="308"/>
      <c r="J6" s="308"/>
      <c r="K6" s="309"/>
      <c r="L6" s="307"/>
      <c r="M6" s="308"/>
      <c r="N6" s="308"/>
      <c r="O6" s="308"/>
      <c r="P6" s="308"/>
      <c r="Q6" s="308"/>
      <c r="R6" s="308"/>
      <c r="S6" s="309"/>
      <c r="T6" s="307"/>
      <c r="U6" s="308"/>
      <c r="V6" s="308"/>
      <c r="W6" s="308"/>
      <c r="X6" s="308"/>
      <c r="Y6" s="308"/>
      <c r="Z6" s="308"/>
      <c r="AA6" s="309"/>
      <c r="AB6" s="49"/>
      <c r="AC6" s="48"/>
      <c r="AD6" s="303"/>
      <c r="AE6" s="303"/>
      <c r="AF6" s="303"/>
      <c r="AG6" s="303"/>
      <c r="AH6" s="307"/>
      <c r="AI6" s="308"/>
      <c r="AJ6" s="308"/>
      <c r="AK6" s="308"/>
      <c r="AL6" s="309"/>
      <c r="AM6" s="307"/>
      <c r="AN6" s="308"/>
      <c r="AO6" s="308"/>
      <c r="AP6" s="308"/>
      <c r="AQ6" s="308"/>
      <c r="AR6" s="308"/>
      <c r="AS6" s="308"/>
      <c r="AT6" s="309"/>
      <c r="AU6" s="307"/>
      <c r="AV6" s="308"/>
      <c r="AW6" s="308"/>
      <c r="AX6" s="308"/>
      <c r="AY6" s="308"/>
      <c r="AZ6" s="308"/>
      <c r="BA6" s="308"/>
      <c r="BB6" s="309"/>
      <c r="BC6" s="49"/>
      <c r="BD6" s="48"/>
      <c r="BE6" s="303"/>
      <c r="BF6" s="303"/>
      <c r="BG6" s="303"/>
      <c r="BH6" s="303"/>
      <c r="BI6" s="307"/>
      <c r="BJ6" s="308"/>
      <c r="BK6" s="308"/>
      <c r="BL6" s="308"/>
      <c r="BM6" s="309"/>
      <c r="BN6" s="307"/>
      <c r="BO6" s="308"/>
      <c r="BP6" s="308"/>
      <c r="BQ6" s="308"/>
      <c r="BR6" s="308"/>
      <c r="BS6" s="308"/>
      <c r="BT6" s="308"/>
      <c r="BU6" s="309"/>
      <c r="BV6" s="307"/>
      <c r="BW6" s="308"/>
      <c r="BX6" s="308"/>
      <c r="BY6" s="308"/>
      <c r="BZ6" s="308"/>
      <c r="CA6" s="308"/>
      <c r="CB6" s="308"/>
      <c r="CC6" s="309"/>
      <c r="CD6" s="49"/>
    </row>
    <row r="7" spans="2:82" x14ac:dyDescent="0.35">
      <c r="B7" s="48"/>
      <c r="C7" s="157">
        <v>2</v>
      </c>
      <c r="D7" s="157"/>
      <c r="E7" s="157"/>
      <c r="F7" s="157"/>
      <c r="G7" s="278">
        <v>18310</v>
      </c>
      <c r="H7" s="278"/>
      <c r="I7" s="278"/>
      <c r="J7" s="278"/>
      <c r="K7" s="278"/>
      <c r="L7" s="278">
        <f t="shared" ref="L7:L14" si="0">ROUND(G7*2.25,0)</f>
        <v>41198</v>
      </c>
      <c r="M7" s="278"/>
      <c r="N7" s="278"/>
      <c r="O7" s="278"/>
      <c r="P7" s="278"/>
      <c r="Q7" s="278"/>
      <c r="R7" s="278"/>
      <c r="S7" s="278"/>
      <c r="T7" s="279">
        <f t="shared" ref="T7:T14" si="1">ROUND(G7*3.25,0)</f>
        <v>59508</v>
      </c>
      <c r="U7" s="280"/>
      <c r="V7" s="280"/>
      <c r="W7" s="280"/>
      <c r="X7" s="280"/>
      <c r="Y7" s="280"/>
      <c r="Z7" s="280"/>
      <c r="AA7" s="281"/>
      <c r="AB7" s="49"/>
      <c r="AC7" s="48"/>
      <c r="AD7" s="157">
        <v>2</v>
      </c>
      <c r="AE7" s="157"/>
      <c r="AF7" s="157"/>
      <c r="AG7" s="157"/>
      <c r="AH7" s="278">
        <v>22890</v>
      </c>
      <c r="AI7" s="278"/>
      <c r="AJ7" s="278"/>
      <c r="AK7" s="278"/>
      <c r="AL7" s="278"/>
      <c r="AM7" s="278">
        <f t="shared" ref="AM7:AM14" si="2">ROUND(AH7*2.25,0)</f>
        <v>51503</v>
      </c>
      <c r="AN7" s="278"/>
      <c r="AO7" s="278"/>
      <c r="AP7" s="278"/>
      <c r="AQ7" s="278"/>
      <c r="AR7" s="278"/>
      <c r="AS7" s="278"/>
      <c r="AT7" s="278"/>
      <c r="AU7" s="279">
        <f t="shared" ref="AU7:AU14" si="3">ROUND(AH7*3.25,0)</f>
        <v>74393</v>
      </c>
      <c r="AV7" s="280"/>
      <c r="AW7" s="280"/>
      <c r="AX7" s="280"/>
      <c r="AY7" s="280"/>
      <c r="AZ7" s="280"/>
      <c r="BA7" s="280"/>
      <c r="BB7" s="281"/>
      <c r="BC7" s="49"/>
      <c r="BD7" s="48"/>
      <c r="BE7" s="157">
        <v>2</v>
      </c>
      <c r="BF7" s="157"/>
      <c r="BG7" s="157"/>
      <c r="BH7" s="157"/>
      <c r="BI7" s="278">
        <v>21060</v>
      </c>
      <c r="BJ7" s="278"/>
      <c r="BK7" s="278"/>
      <c r="BL7" s="278"/>
      <c r="BM7" s="278"/>
      <c r="BN7" s="278">
        <f t="shared" ref="BN7:BN14" si="4">ROUND(BI7*2.25,0)</f>
        <v>47385</v>
      </c>
      <c r="BO7" s="278"/>
      <c r="BP7" s="278"/>
      <c r="BQ7" s="278"/>
      <c r="BR7" s="278"/>
      <c r="BS7" s="278"/>
      <c r="BT7" s="278"/>
      <c r="BU7" s="278"/>
      <c r="BV7" s="279">
        <f t="shared" ref="BV7:BV14" si="5">ROUND(BI7*3.25,0)</f>
        <v>68445</v>
      </c>
      <c r="BW7" s="280"/>
      <c r="BX7" s="280"/>
      <c r="BY7" s="280"/>
      <c r="BZ7" s="280"/>
      <c r="CA7" s="280"/>
      <c r="CB7" s="280"/>
      <c r="CC7" s="281"/>
      <c r="CD7" s="49"/>
    </row>
    <row r="8" spans="2:82" x14ac:dyDescent="0.35">
      <c r="B8" s="48"/>
      <c r="C8" s="157">
        <v>3</v>
      </c>
      <c r="D8" s="157"/>
      <c r="E8" s="157"/>
      <c r="F8" s="157"/>
      <c r="G8" s="278">
        <v>23030</v>
      </c>
      <c r="H8" s="278"/>
      <c r="I8" s="278"/>
      <c r="J8" s="278"/>
      <c r="K8" s="278"/>
      <c r="L8" s="278">
        <f t="shared" si="0"/>
        <v>51818</v>
      </c>
      <c r="M8" s="278"/>
      <c r="N8" s="278"/>
      <c r="O8" s="278"/>
      <c r="P8" s="278"/>
      <c r="Q8" s="278"/>
      <c r="R8" s="278"/>
      <c r="S8" s="278"/>
      <c r="T8" s="278">
        <f t="shared" si="1"/>
        <v>74848</v>
      </c>
      <c r="U8" s="278"/>
      <c r="V8" s="278"/>
      <c r="W8" s="278"/>
      <c r="X8" s="278"/>
      <c r="Y8" s="278"/>
      <c r="Z8" s="278"/>
      <c r="AA8" s="278"/>
      <c r="AB8" s="49"/>
      <c r="AC8" s="48"/>
      <c r="AD8" s="157">
        <v>3</v>
      </c>
      <c r="AE8" s="157"/>
      <c r="AF8" s="157"/>
      <c r="AG8" s="157"/>
      <c r="AH8" s="278">
        <v>28790</v>
      </c>
      <c r="AI8" s="278"/>
      <c r="AJ8" s="278"/>
      <c r="AK8" s="278"/>
      <c r="AL8" s="278"/>
      <c r="AM8" s="278">
        <f t="shared" si="2"/>
        <v>64778</v>
      </c>
      <c r="AN8" s="278"/>
      <c r="AO8" s="278"/>
      <c r="AP8" s="278"/>
      <c r="AQ8" s="278"/>
      <c r="AR8" s="278"/>
      <c r="AS8" s="278"/>
      <c r="AT8" s="278"/>
      <c r="AU8" s="278">
        <f t="shared" si="3"/>
        <v>93568</v>
      </c>
      <c r="AV8" s="278"/>
      <c r="AW8" s="278"/>
      <c r="AX8" s="278"/>
      <c r="AY8" s="278"/>
      <c r="AZ8" s="278"/>
      <c r="BA8" s="278"/>
      <c r="BB8" s="278"/>
      <c r="BC8" s="49"/>
      <c r="BD8" s="48"/>
      <c r="BE8" s="157">
        <v>3</v>
      </c>
      <c r="BF8" s="157"/>
      <c r="BG8" s="157"/>
      <c r="BH8" s="157"/>
      <c r="BI8" s="278">
        <v>26490</v>
      </c>
      <c r="BJ8" s="278"/>
      <c r="BK8" s="278"/>
      <c r="BL8" s="278"/>
      <c r="BM8" s="278"/>
      <c r="BN8" s="278">
        <f t="shared" si="4"/>
        <v>59603</v>
      </c>
      <c r="BO8" s="278"/>
      <c r="BP8" s="278"/>
      <c r="BQ8" s="278"/>
      <c r="BR8" s="278"/>
      <c r="BS8" s="278"/>
      <c r="BT8" s="278"/>
      <c r="BU8" s="278"/>
      <c r="BV8" s="278">
        <f t="shared" si="5"/>
        <v>86093</v>
      </c>
      <c r="BW8" s="278"/>
      <c r="BX8" s="278"/>
      <c r="BY8" s="278"/>
      <c r="BZ8" s="278"/>
      <c r="CA8" s="278"/>
      <c r="CB8" s="278"/>
      <c r="CC8" s="278"/>
      <c r="CD8" s="49"/>
    </row>
    <row r="9" spans="2:82" x14ac:dyDescent="0.35">
      <c r="B9" s="48"/>
      <c r="C9" s="157">
        <v>4</v>
      </c>
      <c r="D9" s="157"/>
      <c r="E9" s="157"/>
      <c r="F9" s="157"/>
      <c r="G9" s="278">
        <v>27750</v>
      </c>
      <c r="H9" s="278"/>
      <c r="I9" s="278"/>
      <c r="J9" s="278"/>
      <c r="K9" s="278"/>
      <c r="L9" s="278">
        <f t="shared" si="0"/>
        <v>62438</v>
      </c>
      <c r="M9" s="278"/>
      <c r="N9" s="278"/>
      <c r="O9" s="278"/>
      <c r="P9" s="278"/>
      <c r="Q9" s="278"/>
      <c r="R9" s="278"/>
      <c r="S9" s="278"/>
      <c r="T9" s="278">
        <f t="shared" si="1"/>
        <v>90188</v>
      </c>
      <c r="U9" s="278"/>
      <c r="V9" s="278"/>
      <c r="W9" s="278"/>
      <c r="X9" s="278"/>
      <c r="Y9" s="278"/>
      <c r="Z9" s="278"/>
      <c r="AA9" s="278"/>
      <c r="AB9" s="49"/>
      <c r="AC9" s="48"/>
      <c r="AD9" s="157">
        <v>4</v>
      </c>
      <c r="AE9" s="157"/>
      <c r="AF9" s="157"/>
      <c r="AG9" s="157"/>
      <c r="AH9" s="278">
        <v>34690</v>
      </c>
      <c r="AI9" s="278"/>
      <c r="AJ9" s="278"/>
      <c r="AK9" s="278"/>
      <c r="AL9" s="278"/>
      <c r="AM9" s="278">
        <f t="shared" si="2"/>
        <v>78053</v>
      </c>
      <c r="AN9" s="278"/>
      <c r="AO9" s="278"/>
      <c r="AP9" s="278"/>
      <c r="AQ9" s="278"/>
      <c r="AR9" s="278"/>
      <c r="AS9" s="278"/>
      <c r="AT9" s="278"/>
      <c r="AU9" s="278">
        <f t="shared" si="3"/>
        <v>112743</v>
      </c>
      <c r="AV9" s="278"/>
      <c r="AW9" s="278"/>
      <c r="AX9" s="278"/>
      <c r="AY9" s="278"/>
      <c r="AZ9" s="278"/>
      <c r="BA9" s="278"/>
      <c r="BB9" s="278"/>
      <c r="BC9" s="49"/>
      <c r="BD9" s="48"/>
      <c r="BE9" s="157">
        <v>4</v>
      </c>
      <c r="BF9" s="157"/>
      <c r="BG9" s="157"/>
      <c r="BH9" s="157"/>
      <c r="BI9" s="278">
        <v>31920</v>
      </c>
      <c r="BJ9" s="278"/>
      <c r="BK9" s="278"/>
      <c r="BL9" s="278"/>
      <c r="BM9" s="278"/>
      <c r="BN9" s="278">
        <f t="shared" si="4"/>
        <v>71820</v>
      </c>
      <c r="BO9" s="278"/>
      <c r="BP9" s="278"/>
      <c r="BQ9" s="278"/>
      <c r="BR9" s="278"/>
      <c r="BS9" s="278"/>
      <c r="BT9" s="278"/>
      <c r="BU9" s="278"/>
      <c r="BV9" s="278">
        <f t="shared" si="5"/>
        <v>103740</v>
      </c>
      <c r="BW9" s="278"/>
      <c r="BX9" s="278"/>
      <c r="BY9" s="278"/>
      <c r="BZ9" s="278"/>
      <c r="CA9" s="278"/>
      <c r="CB9" s="278"/>
      <c r="CC9" s="278"/>
      <c r="CD9" s="49"/>
    </row>
    <row r="10" spans="2:82" x14ac:dyDescent="0.35">
      <c r="B10" s="48"/>
      <c r="C10" s="157">
        <v>5</v>
      </c>
      <c r="D10" s="157"/>
      <c r="E10" s="157"/>
      <c r="F10" s="157"/>
      <c r="G10" s="278">
        <v>32470</v>
      </c>
      <c r="H10" s="278"/>
      <c r="I10" s="278"/>
      <c r="J10" s="278"/>
      <c r="K10" s="278"/>
      <c r="L10" s="278">
        <f t="shared" si="0"/>
        <v>73058</v>
      </c>
      <c r="M10" s="278"/>
      <c r="N10" s="278"/>
      <c r="O10" s="278"/>
      <c r="P10" s="278"/>
      <c r="Q10" s="278"/>
      <c r="R10" s="278"/>
      <c r="S10" s="278"/>
      <c r="T10" s="278">
        <f t="shared" si="1"/>
        <v>105528</v>
      </c>
      <c r="U10" s="278"/>
      <c r="V10" s="278"/>
      <c r="W10" s="278"/>
      <c r="X10" s="278"/>
      <c r="Y10" s="278"/>
      <c r="Z10" s="278"/>
      <c r="AA10" s="278"/>
      <c r="AB10" s="49"/>
      <c r="AC10" s="48"/>
      <c r="AD10" s="157">
        <v>5</v>
      </c>
      <c r="AE10" s="157"/>
      <c r="AF10" s="157"/>
      <c r="AG10" s="157"/>
      <c r="AH10" s="278">
        <v>40590</v>
      </c>
      <c r="AI10" s="278"/>
      <c r="AJ10" s="278"/>
      <c r="AK10" s="278"/>
      <c r="AL10" s="278"/>
      <c r="AM10" s="278">
        <f t="shared" si="2"/>
        <v>91328</v>
      </c>
      <c r="AN10" s="278"/>
      <c r="AO10" s="278"/>
      <c r="AP10" s="278"/>
      <c r="AQ10" s="278"/>
      <c r="AR10" s="278"/>
      <c r="AS10" s="278"/>
      <c r="AT10" s="278"/>
      <c r="AU10" s="278">
        <f t="shared" si="3"/>
        <v>131918</v>
      </c>
      <c r="AV10" s="278"/>
      <c r="AW10" s="278"/>
      <c r="AX10" s="278"/>
      <c r="AY10" s="278"/>
      <c r="AZ10" s="278"/>
      <c r="BA10" s="278"/>
      <c r="BB10" s="278"/>
      <c r="BC10" s="49"/>
      <c r="BD10" s="48"/>
      <c r="BE10" s="157">
        <v>5</v>
      </c>
      <c r="BF10" s="157"/>
      <c r="BG10" s="157"/>
      <c r="BH10" s="157"/>
      <c r="BI10" s="278">
        <v>37350</v>
      </c>
      <c r="BJ10" s="278"/>
      <c r="BK10" s="278"/>
      <c r="BL10" s="278"/>
      <c r="BM10" s="278"/>
      <c r="BN10" s="278">
        <f t="shared" si="4"/>
        <v>84038</v>
      </c>
      <c r="BO10" s="278"/>
      <c r="BP10" s="278"/>
      <c r="BQ10" s="278"/>
      <c r="BR10" s="278"/>
      <c r="BS10" s="278"/>
      <c r="BT10" s="278"/>
      <c r="BU10" s="278"/>
      <c r="BV10" s="278">
        <f t="shared" si="5"/>
        <v>121388</v>
      </c>
      <c r="BW10" s="278"/>
      <c r="BX10" s="278"/>
      <c r="BY10" s="278"/>
      <c r="BZ10" s="278"/>
      <c r="CA10" s="278"/>
      <c r="CB10" s="278"/>
      <c r="CC10" s="278"/>
      <c r="CD10" s="49"/>
    </row>
    <row r="11" spans="2:82" x14ac:dyDescent="0.35">
      <c r="B11" s="48"/>
      <c r="C11" s="157">
        <v>6</v>
      </c>
      <c r="D11" s="157"/>
      <c r="E11" s="157"/>
      <c r="F11" s="157"/>
      <c r="G11" s="278">
        <v>37190</v>
      </c>
      <c r="H11" s="278"/>
      <c r="I11" s="278"/>
      <c r="J11" s="278"/>
      <c r="K11" s="278"/>
      <c r="L11" s="278">
        <f t="shared" si="0"/>
        <v>83678</v>
      </c>
      <c r="M11" s="278"/>
      <c r="N11" s="278"/>
      <c r="O11" s="278"/>
      <c r="P11" s="278"/>
      <c r="Q11" s="278"/>
      <c r="R11" s="278"/>
      <c r="S11" s="278"/>
      <c r="T11" s="278">
        <f t="shared" si="1"/>
        <v>120868</v>
      </c>
      <c r="U11" s="278"/>
      <c r="V11" s="278"/>
      <c r="W11" s="278"/>
      <c r="X11" s="278"/>
      <c r="Y11" s="278"/>
      <c r="Z11" s="278"/>
      <c r="AA11" s="278"/>
      <c r="AB11" s="49"/>
      <c r="AC11" s="48"/>
      <c r="AD11" s="157">
        <v>6</v>
      </c>
      <c r="AE11" s="157"/>
      <c r="AF11" s="157"/>
      <c r="AG11" s="157"/>
      <c r="AH11" s="278">
        <v>46490</v>
      </c>
      <c r="AI11" s="278"/>
      <c r="AJ11" s="278"/>
      <c r="AK11" s="278"/>
      <c r="AL11" s="278"/>
      <c r="AM11" s="278">
        <f t="shared" si="2"/>
        <v>104603</v>
      </c>
      <c r="AN11" s="278"/>
      <c r="AO11" s="278"/>
      <c r="AP11" s="278"/>
      <c r="AQ11" s="278"/>
      <c r="AR11" s="278"/>
      <c r="AS11" s="278"/>
      <c r="AT11" s="278"/>
      <c r="AU11" s="278">
        <f t="shared" si="3"/>
        <v>151093</v>
      </c>
      <c r="AV11" s="278"/>
      <c r="AW11" s="278"/>
      <c r="AX11" s="278"/>
      <c r="AY11" s="278"/>
      <c r="AZ11" s="278"/>
      <c r="BA11" s="278"/>
      <c r="BB11" s="278"/>
      <c r="BC11" s="49"/>
      <c r="BD11" s="48"/>
      <c r="BE11" s="157">
        <v>6</v>
      </c>
      <c r="BF11" s="157"/>
      <c r="BG11" s="157"/>
      <c r="BH11" s="157"/>
      <c r="BI11" s="278">
        <v>42780</v>
      </c>
      <c r="BJ11" s="278"/>
      <c r="BK11" s="278"/>
      <c r="BL11" s="278"/>
      <c r="BM11" s="278"/>
      <c r="BN11" s="278">
        <f t="shared" si="4"/>
        <v>96255</v>
      </c>
      <c r="BO11" s="278"/>
      <c r="BP11" s="278"/>
      <c r="BQ11" s="278"/>
      <c r="BR11" s="278"/>
      <c r="BS11" s="278"/>
      <c r="BT11" s="278"/>
      <c r="BU11" s="278"/>
      <c r="BV11" s="278">
        <f t="shared" si="5"/>
        <v>139035</v>
      </c>
      <c r="BW11" s="278"/>
      <c r="BX11" s="278"/>
      <c r="BY11" s="278"/>
      <c r="BZ11" s="278"/>
      <c r="CA11" s="278"/>
      <c r="CB11" s="278"/>
      <c r="CC11" s="278"/>
      <c r="CD11" s="49"/>
    </row>
    <row r="12" spans="2:82" x14ac:dyDescent="0.35">
      <c r="B12" s="48"/>
      <c r="C12" s="157">
        <v>7</v>
      </c>
      <c r="D12" s="157"/>
      <c r="E12" s="157"/>
      <c r="F12" s="157"/>
      <c r="G12" s="278">
        <v>41910</v>
      </c>
      <c r="H12" s="278"/>
      <c r="I12" s="278"/>
      <c r="J12" s="278"/>
      <c r="K12" s="278"/>
      <c r="L12" s="278">
        <f t="shared" si="0"/>
        <v>94298</v>
      </c>
      <c r="M12" s="278"/>
      <c r="N12" s="278"/>
      <c r="O12" s="278"/>
      <c r="P12" s="278"/>
      <c r="Q12" s="278"/>
      <c r="R12" s="278"/>
      <c r="S12" s="278"/>
      <c r="T12" s="278">
        <f t="shared" si="1"/>
        <v>136208</v>
      </c>
      <c r="U12" s="278"/>
      <c r="V12" s="278"/>
      <c r="W12" s="278"/>
      <c r="X12" s="278"/>
      <c r="Y12" s="278"/>
      <c r="Z12" s="278"/>
      <c r="AA12" s="278"/>
      <c r="AB12" s="49"/>
      <c r="AC12" s="48"/>
      <c r="AD12" s="157">
        <v>7</v>
      </c>
      <c r="AE12" s="157"/>
      <c r="AF12" s="157"/>
      <c r="AG12" s="157"/>
      <c r="AH12" s="278">
        <v>52390</v>
      </c>
      <c r="AI12" s="278"/>
      <c r="AJ12" s="278"/>
      <c r="AK12" s="278"/>
      <c r="AL12" s="278"/>
      <c r="AM12" s="278">
        <f t="shared" si="2"/>
        <v>117878</v>
      </c>
      <c r="AN12" s="278"/>
      <c r="AO12" s="278"/>
      <c r="AP12" s="278"/>
      <c r="AQ12" s="278"/>
      <c r="AR12" s="278"/>
      <c r="AS12" s="278"/>
      <c r="AT12" s="278"/>
      <c r="AU12" s="278">
        <f t="shared" si="3"/>
        <v>170268</v>
      </c>
      <c r="AV12" s="278"/>
      <c r="AW12" s="278"/>
      <c r="AX12" s="278"/>
      <c r="AY12" s="278"/>
      <c r="AZ12" s="278"/>
      <c r="BA12" s="278"/>
      <c r="BB12" s="278"/>
      <c r="BC12" s="49"/>
      <c r="BD12" s="48"/>
      <c r="BE12" s="157">
        <v>7</v>
      </c>
      <c r="BF12" s="157"/>
      <c r="BG12" s="157"/>
      <c r="BH12" s="157"/>
      <c r="BI12" s="278">
        <v>48210</v>
      </c>
      <c r="BJ12" s="278"/>
      <c r="BK12" s="278"/>
      <c r="BL12" s="278"/>
      <c r="BM12" s="278"/>
      <c r="BN12" s="278">
        <f t="shared" si="4"/>
        <v>108473</v>
      </c>
      <c r="BO12" s="278"/>
      <c r="BP12" s="278"/>
      <c r="BQ12" s="278"/>
      <c r="BR12" s="278"/>
      <c r="BS12" s="278"/>
      <c r="BT12" s="278"/>
      <c r="BU12" s="278"/>
      <c r="BV12" s="278">
        <f t="shared" si="5"/>
        <v>156683</v>
      </c>
      <c r="BW12" s="278"/>
      <c r="BX12" s="278"/>
      <c r="BY12" s="278"/>
      <c r="BZ12" s="278"/>
      <c r="CA12" s="278"/>
      <c r="CB12" s="278"/>
      <c r="CC12" s="278"/>
      <c r="CD12" s="49"/>
    </row>
    <row r="13" spans="2:82" x14ac:dyDescent="0.35">
      <c r="B13" s="48"/>
      <c r="C13" s="157">
        <v>8</v>
      </c>
      <c r="D13" s="157"/>
      <c r="E13" s="157"/>
      <c r="F13" s="157"/>
      <c r="G13" s="278">
        <v>46630</v>
      </c>
      <c r="H13" s="278"/>
      <c r="I13" s="278"/>
      <c r="J13" s="278"/>
      <c r="K13" s="278"/>
      <c r="L13" s="278">
        <f t="shared" si="0"/>
        <v>104918</v>
      </c>
      <c r="M13" s="278"/>
      <c r="N13" s="278"/>
      <c r="O13" s="278"/>
      <c r="P13" s="278"/>
      <c r="Q13" s="278"/>
      <c r="R13" s="278"/>
      <c r="S13" s="278"/>
      <c r="T13" s="278">
        <f t="shared" si="1"/>
        <v>151548</v>
      </c>
      <c r="U13" s="278"/>
      <c r="V13" s="278"/>
      <c r="W13" s="278"/>
      <c r="X13" s="278"/>
      <c r="Y13" s="278"/>
      <c r="Z13" s="278"/>
      <c r="AA13" s="278"/>
      <c r="AB13" s="49"/>
      <c r="AC13" s="48"/>
      <c r="AD13" s="157">
        <v>8</v>
      </c>
      <c r="AE13" s="157"/>
      <c r="AF13" s="157"/>
      <c r="AG13" s="157"/>
      <c r="AH13" s="278">
        <v>58290</v>
      </c>
      <c r="AI13" s="278"/>
      <c r="AJ13" s="278"/>
      <c r="AK13" s="278"/>
      <c r="AL13" s="278"/>
      <c r="AM13" s="278">
        <f t="shared" si="2"/>
        <v>131153</v>
      </c>
      <c r="AN13" s="278"/>
      <c r="AO13" s="278"/>
      <c r="AP13" s="278"/>
      <c r="AQ13" s="278"/>
      <c r="AR13" s="278"/>
      <c r="AS13" s="278"/>
      <c r="AT13" s="278"/>
      <c r="AU13" s="278">
        <f t="shared" si="3"/>
        <v>189443</v>
      </c>
      <c r="AV13" s="278"/>
      <c r="AW13" s="278"/>
      <c r="AX13" s="278"/>
      <c r="AY13" s="278"/>
      <c r="AZ13" s="278"/>
      <c r="BA13" s="278"/>
      <c r="BB13" s="278"/>
      <c r="BC13" s="49"/>
      <c r="BD13" s="48"/>
      <c r="BE13" s="157">
        <v>8</v>
      </c>
      <c r="BF13" s="157"/>
      <c r="BG13" s="157"/>
      <c r="BH13" s="157"/>
      <c r="BI13" s="278">
        <v>53640</v>
      </c>
      <c r="BJ13" s="278"/>
      <c r="BK13" s="278"/>
      <c r="BL13" s="278"/>
      <c r="BM13" s="278"/>
      <c r="BN13" s="278">
        <f t="shared" si="4"/>
        <v>120690</v>
      </c>
      <c r="BO13" s="278"/>
      <c r="BP13" s="278"/>
      <c r="BQ13" s="278"/>
      <c r="BR13" s="278"/>
      <c r="BS13" s="278"/>
      <c r="BT13" s="278"/>
      <c r="BU13" s="278"/>
      <c r="BV13" s="278">
        <f t="shared" si="5"/>
        <v>174330</v>
      </c>
      <c r="BW13" s="278"/>
      <c r="BX13" s="278"/>
      <c r="BY13" s="278"/>
      <c r="BZ13" s="278"/>
      <c r="CA13" s="278"/>
      <c r="CB13" s="278"/>
      <c r="CC13" s="278"/>
      <c r="CD13" s="49"/>
    </row>
    <row r="14" spans="2:82" x14ac:dyDescent="0.35">
      <c r="B14" s="48"/>
      <c r="C14" s="282">
        <f>'Max &amp; Min Pell Flag Calculator'!AG5</f>
        <v>6</v>
      </c>
      <c r="D14" s="157"/>
      <c r="E14" s="157"/>
      <c r="F14" s="157"/>
      <c r="G14" s="278">
        <f>G13+((C14-C13)*(G8-G7))</f>
        <v>37190</v>
      </c>
      <c r="H14" s="278"/>
      <c r="I14" s="278"/>
      <c r="J14" s="278"/>
      <c r="K14" s="278"/>
      <c r="L14" s="278">
        <f t="shared" si="0"/>
        <v>83678</v>
      </c>
      <c r="M14" s="278"/>
      <c r="N14" s="278"/>
      <c r="O14" s="278"/>
      <c r="P14" s="278"/>
      <c r="Q14" s="278"/>
      <c r="R14" s="278"/>
      <c r="S14" s="278"/>
      <c r="T14" s="278">
        <f t="shared" si="1"/>
        <v>120868</v>
      </c>
      <c r="U14" s="278"/>
      <c r="V14" s="278"/>
      <c r="W14" s="278"/>
      <c r="X14" s="278"/>
      <c r="Y14" s="278"/>
      <c r="Z14" s="278"/>
      <c r="AA14" s="278"/>
      <c r="AB14" s="49"/>
      <c r="AC14" s="48"/>
      <c r="AD14" s="282">
        <f>C14</f>
        <v>6</v>
      </c>
      <c r="AE14" s="157"/>
      <c r="AF14" s="157"/>
      <c r="AG14" s="157"/>
      <c r="AH14" s="278">
        <f>AH13+((AD14-AD13)*(AH8-AH7))</f>
        <v>46490</v>
      </c>
      <c r="AI14" s="278"/>
      <c r="AJ14" s="278"/>
      <c r="AK14" s="278"/>
      <c r="AL14" s="278"/>
      <c r="AM14" s="278">
        <f t="shared" si="2"/>
        <v>104603</v>
      </c>
      <c r="AN14" s="278"/>
      <c r="AO14" s="278"/>
      <c r="AP14" s="278"/>
      <c r="AQ14" s="278"/>
      <c r="AR14" s="278"/>
      <c r="AS14" s="278"/>
      <c r="AT14" s="278"/>
      <c r="AU14" s="278">
        <f t="shared" si="3"/>
        <v>151093</v>
      </c>
      <c r="AV14" s="278"/>
      <c r="AW14" s="278"/>
      <c r="AX14" s="278"/>
      <c r="AY14" s="278"/>
      <c r="AZ14" s="278"/>
      <c r="BA14" s="278"/>
      <c r="BB14" s="278"/>
      <c r="BC14" s="49"/>
      <c r="BD14" s="48"/>
      <c r="BE14" s="282">
        <f>C14</f>
        <v>6</v>
      </c>
      <c r="BF14" s="157"/>
      <c r="BG14" s="157"/>
      <c r="BH14" s="157"/>
      <c r="BI14" s="278">
        <f>BI13+((BE14-BE13)*(BI8-BI7))</f>
        <v>42780</v>
      </c>
      <c r="BJ14" s="278"/>
      <c r="BK14" s="278"/>
      <c r="BL14" s="278"/>
      <c r="BM14" s="278"/>
      <c r="BN14" s="278">
        <f t="shared" si="4"/>
        <v>96255</v>
      </c>
      <c r="BO14" s="278"/>
      <c r="BP14" s="278"/>
      <c r="BQ14" s="278"/>
      <c r="BR14" s="278"/>
      <c r="BS14" s="278"/>
      <c r="BT14" s="278"/>
      <c r="BU14" s="278"/>
      <c r="BV14" s="278">
        <f t="shared" si="5"/>
        <v>139035</v>
      </c>
      <c r="BW14" s="278"/>
      <c r="BX14" s="278"/>
      <c r="BY14" s="278"/>
      <c r="BZ14" s="278"/>
      <c r="CA14" s="278"/>
      <c r="CB14" s="278"/>
      <c r="CC14" s="278"/>
      <c r="CD14" s="49"/>
    </row>
    <row r="15" spans="2:82" x14ac:dyDescent="0.35">
      <c r="B15" s="48"/>
      <c r="C15" s="50" t="s">
        <v>177</v>
      </c>
      <c r="D15" s="234" t="s">
        <v>354</v>
      </c>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49"/>
      <c r="AC15" s="48"/>
      <c r="AD15" s="50" t="s">
        <v>177</v>
      </c>
      <c r="AE15" s="234" t="s">
        <v>359</v>
      </c>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49"/>
      <c r="BD15" s="48"/>
      <c r="BE15" s="50" t="s">
        <v>177</v>
      </c>
      <c r="BF15" s="234" t="s">
        <v>361</v>
      </c>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49"/>
    </row>
    <row r="16" spans="2:82" x14ac:dyDescent="0.35">
      <c r="B16" s="48"/>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49"/>
      <c r="AC16" s="48"/>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49"/>
      <c r="BD16" s="48"/>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49"/>
    </row>
    <row r="17" spans="2:82" ht="7.25" customHeight="1" x14ac:dyDescent="0.35">
      <c r="B17" s="48"/>
      <c r="AB17" s="49"/>
      <c r="AC17" s="48"/>
      <c r="BC17" s="49"/>
      <c r="BD17" s="48"/>
      <c r="CD17" s="49"/>
    </row>
    <row r="18" spans="2:82" ht="14.4" customHeight="1" x14ac:dyDescent="0.35">
      <c r="B18" s="48"/>
      <c r="C18" s="300" t="s">
        <v>387</v>
      </c>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2"/>
      <c r="AB18" s="49"/>
      <c r="AC18" s="48"/>
      <c r="AD18" s="300" t="s">
        <v>387</v>
      </c>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2"/>
      <c r="BC18" s="49"/>
      <c r="BD18" s="48"/>
      <c r="BE18" s="300" t="s">
        <v>387</v>
      </c>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2"/>
      <c r="CD18" s="49"/>
    </row>
    <row r="19" spans="2:82" x14ac:dyDescent="0.35">
      <c r="B19" s="48"/>
      <c r="C19" s="303" t="s">
        <v>352</v>
      </c>
      <c r="D19" s="303"/>
      <c r="E19" s="303"/>
      <c r="F19" s="303"/>
      <c r="G19" s="304" t="s">
        <v>353</v>
      </c>
      <c r="H19" s="305"/>
      <c r="I19" s="305"/>
      <c r="J19" s="305"/>
      <c r="K19" s="306"/>
      <c r="L19" s="304" t="s">
        <v>356</v>
      </c>
      <c r="M19" s="305"/>
      <c r="N19" s="305"/>
      <c r="O19" s="305"/>
      <c r="P19" s="305"/>
      <c r="Q19" s="305"/>
      <c r="R19" s="305"/>
      <c r="S19" s="306"/>
      <c r="T19" s="304" t="s">
        <v>357</v>
      </c>
      <c r="U19" s="305"/>
      <c r="V19" s="305"/>
      <c r="W19" s="305"/>
      <c r="X19" s="305"/>
      <c r="Y19" s="305"/>
      <c r="Z19" s="305"/>
      <c r="AA19" s="306"/>
      <c r="AB19" s="49"/>
      <c r="AC19" s="48"/>
      <c r="AD19" s="303" t="s">
        <v>352</v>
      </c>
      <c r="AE19" s="303"/>
      <c r="AF19" s="303"/>
      <c r="AG19" s="303"/>
      <c r="AH19" s="304" t="s">
        <v>353</v>
      </c>
      <c r="AI19" s="305"/>
      <c r="AJ19" s="305"/>
      <c r="AK19" s="305"/>
      <c r="AL19" s="306"/>
      <c r="AM19" s="304" t="s">
        <v>356</v>
      </c>
      <c r="AN19" s="305"/>
      <c r="AO19" s="305"/>
      <c r="AP19" s="305"/>
      <c r="AQ19" s="305"/>
      <c r="AR19" s="305"/>
      <c r="AS19" s="305"/>
      <c r="AT19" s="306"/>
      <c r="AU19" s="304" t="s">
        <v>357</v>
      </c>
      <c r="AV19" s="305"/>
      <c r="AW19" s="305"/>
      <c r="AX19" s="305"/>
      <c r="AY19" s="305"/>
      <c r="AZ19" s="305"/>
      <c r="BA19" s="305"/>
      <c r="BB19" s="306"/>
      <c r="BC19" s="49"/>
      <c r="BD19" s="48"/>
      <c r="BE19" s="303" t="s">
        <v>352</v>
      </c>
      <c r="BF19" s="303"/>
      <c r="BG19" s="303"/>
      <c r="BH19" s="303"/>
      <c r="BI19" s="304" t="s">
        <v>353</v>
      </c>
      <c r="BJ19" s="305"/>
      <c r="BK19" s="305"/>
      <c r="BL19" s="305"/>
      <c r="BM19" s="306"/>
      <c r="BN19" s="304" t="s">
        <v>356</v>
      </c>
      <c r="BO19" s="305"/>
      <c r="BP19" s="305"/>
      <c r="BQ19" s="305"/>
      <c r="BR19" s="305"/>
      <c r="BS19" s="305"/>
      <c r="BT19" s="305"/>
      <c r="BU19" s="306"/>
      <c r="BV19" s="304" t="s">
        <v>357</v>
      </c>
      <c r="BW19" s="305"/>
      <c r="BX19" s="305"/>
      <c r="BY19" s="305"/>
      <c r="BZ19" s="305"/>
      <c r="CA19" s="305"/>
      <c r="CB19" s="305"/>
      <c r="CC19" s="306"/>
      <c r="CD19" s="49"/>
    </row>
    <row r="20" spans="2:82" x14ac:dyDescent="0.35">
      <c r="B20" s="48"/>
      <c r="C20" s="303"/>
      <c r="D20" s="303"/>
      <c r="E20" s="303"/>
      <c r="F20" s="303"/>
      <c r="G20" s="307"/>
      <c r="H20" s="308"/>
      <c r="I20" s="308"/>
      <c r="J20" s="308"/>
      <c r="K20" s="309"/>
      <c r="L20" s="307"/>
      <c r="M20" s="308"/>
      <c r="N20" s="308"/>
      <c r="O20" s="308"/>
      <c r="P20" s="308"/>
      <c r="Q20" s="308"/>
      <c r="R20" s="308"/>
      <c r="S20" s="309"/>
      <c r="T20" s="307"/>
      <c r="U20" s="308"/>
      <c r="V20" s="308"/>
      <c r="W20" s="308"/>
      <c r="X20" s="308"/>
      <c r="Y20" s="308"/>
      <c r="Z20" s="308"/>
      <c r="AA20" s="309"/>
      <c r="AB20" s="49"/>
      <c r="AC20" s="48"/>
      <c r="AD20" s="303"/>
      <c r="AE20" s="303"/>
      <c r="AF20" s="303"/>
      <c r="AG20" s="303"/>
      <c r="AH20" s="307"/>
      <c r="AI20" s="308"/>
      <c r="AJ20" s="308"/>
      <c r="AK20" s="308"/>
      <c r="AL20" s="309"/>
      <c r="AM20" s="307"/>
      <c r="AN20" s="308"/>
      <c r="AO20" s="308"/>
      <c r="AP20" s="308"/>
      <c r="AQ20" s="308"/>
      <c r="AR20" s="308"/>
      <c r="AS20" s="308"/>
      <c r="AT20" s="309"/>
      <c r="AU20" s="307"/>
      <c r="AV20" s="308"/>
      <c r="AW20" s="308"/>
      <c r="AX20" s="308"/>
      <c r="AY20" s="308"/>
      <c r="AZ20" s="308"/>
      <c r="BA20" s="308"/>
      <c r="BB20" s="309"/>
      <c r="BC20" s="49"/>
      <c r="BD20" s="48"/>
      <c r="BE20" s="303"/>
      <c r="BF20" s="303"/>
      <c r="BG20" s="303"/>
      <c r="BH20" s="303"/>
      <c r="BI20" s="307"/>
      <c r="BJ20" s="308"/>
      <c r="BK20" s="308"/>
      <c r="BL20" s="308"/>
      <c r="BM20" s="309"/>
      <c r="BN20" s="307"/>
      <c r="BO20" s="308"/>
      <c r="BP20" s="308"/>
      <c r="BQ20" s="308"/>
      <c r="BR20" s="308"/>
      <c r="BS20" s="308"/>
      <c r="BT20" s="308"/>
      <c r="BU20" s="309"/>
      <c r="BV20" s="307"/>
      <c r="BW20" s="308"/>
      <c r="BX20" s="308"/>
      <c r="BY20" s="308"/>
      <c r="BZ20" s="308"/>
      <c r="CA20" s="308"/>
      <c r="CB20" s="308"/>
      <c r="CC20" s="309"/>
      <c r="CD20" s="49"/>
    </row>
    <row r="21" spans="2:82" x14ac:dyDescent="0.35">
      <c r="B21" s="48"/>
      <c r="C21" s="157">
        <v>2</v>
      </c>
      <c r="D21" s="157"/>
      <c r="E21" s="157"/>
      <c r="F21" s="157"/>
      <c r="G21" s="278">
        <f t="shared" ref="G21:G27" si="6">G7</f>
        <v>18310</v>
      </c>
      <c r="H21" s="278"/>
      <c r="I21" s="278"/>
      <c r="J21" s="278"/>
      <c r="K21" s="278"/>
      <c r="L21" s="278">
        <f>ROUND(G21*1.75,0)</f>
        <v>32043</v>
      </c>
      <c r="M21" s="278"/>
      <c r="N21" s="278"/>
      <c r="O21" s="278"/>
      <c r="P21" s="278"/>
      <c r="Q21" s="278"/>
      <c r="R21" s="278"/>
      <c r="S21" s="278"/>
      <c r="T21" s="279">
        <f>ROUND(G21*2.75,0)</f>
        <v>50353</v>
      </c>
      <c r="U21" s="280"/>
      <c r="V21" s="280"/>
      <c r="W21" s="280"/>
      <c r="X21" s="280"/>
      <c r="Y21" s="280"/>
      <c r="Z21" s="280"/>
      <c r="AA21" s="281"/>
      <c r="AB21" s="49"/>
      <c r="AC21" s="48"/>
      <c r="AD21" s="157">
        <v>2</v>
      </c>
      <c r="AE21" s="157"/>
      <c r="AF21" s="157"/>
      <c r="AG21" s="157"/>
      <c r="AH21" s="278">
        <f t="shared" ref="AH21:AH27" si="7">AH7</f>
        <v>22890</v>
      </c>
      <c r="AI21" s="278"/>
      <c r="AJ21" s="278"/>
      <c r="AK21" s="278"/>
      <c r="AL21" s="278"/>
      <c r="AM21" s="278">
        <f>ROUND(AH21*1.75,0)</f>
        <v>40058</v>
      </c>
      <c r="AN21" s="278"/>
      <c r="AO21" s="278"/>
      <c r="AP21" s="278"/>
      <c r="AQ21" s="278"/>
      <c r="AR21" s="278"/>
      <c r="AS21" s="278"/>
      <c r="AT21" s="278"/>
      <c r="AU21" s="279">
        <f>ROUND(AH21*2.75,0)</f>
        <v>62948</v>
      </c>
      <c r="AV21" s="280"/>
      <c r="AW21" s="280"/>
      <c r="AX21" s="280"/>
      <c r="AY21" s="280"/>
      <c r="AZ21" s="280"/>
      <c r="BA21" s="280"/>
      <c r="BB21" s="281"/>
      <c r="BC21" s="49"/>
      <c r="BD21" s="48"/>
      <c r="BE21" s="157">
        <v>2</v>
      </c>
      <c r="BF21" s="157"/>
      <c r="BG21" s="157"/>
      <c r="BH21" s="157"/>
      <c r="BI21" s="278">
        <f t="shared" ref="BI21:BI27" si="8">BI7</f>
        <v>21060</v>
      </c>
      <c r="BJ21" s="278"/>
      <c r="BK21" s="278"/>
      <c r="BL21" s="278"/>
      <c r="BM21" s="278"/>
      <c r="BN21" s="278">
        <f>ROUND(BI21*1.75,0)</f>
        <v>36855</v>
      </c>
      <c r="BO21" s="278"/>
      <c r="BP21" s="278"/>
      <c r="BQ21" s="278"/>
      <c r="BR21" s="278"/>
      <c r="BS21" s="278"/>
      <c r="BT21" s="278"/>
      <c r="BU21" s="278"/>
      <c r="BV21" s="279">
        <f>ROUND(BI21*2.75,0)</f>
        <v>57915</v>
      </c>
      <c r="BW21" s="280"/>
      <c r="BX21" s="280"/>
      <c r="BY21" s="280"/>
      <c r="BZ21" s="280"/>
      <c r="CA21" s="280"/>
      <c r="CB21" s="280"/>
      <c r="CC21" s="281"/>
      <c r="CD21" s="49"/>
    </row>
    <row r="22" spans="2:82" x14ac:dyDescent="0.35">
      <c r="B22" s="48"/>
      <c r="C22" s="157">
        <v>3</v>
      </c>
      <c r="D22" s="157"/>
      <c r="E22" s="157"/>
      <c r="F22" s="157"/>
      <c r="G22" s="278">
        <f t="shared" si="6"/>
        <v>23030</v>
      </c>
      <c r="H22" s="278"/>
      <c r="I22" s="278"/>
      <c r="J22" s="278"/>
      <c r="K22" s="278"/>
      <c r="L22" s="278">
        <f t="shared" ref="L22:L28" si="9">ROUND(G22*1.75,0)</f>
        <v>40303</v>
      </c>
      <c r="M22" s="278"/>
      <c r="N22" s="278"/>
      <c r="O22" s="278"/>
      <c r="P22" s="278"/>
      <c r="Q22" s="278"/>
      <c r="R22" s="278"/>
      <c r="S22" s="278"/>
      <c r="T22" s="279">
        <f t="shared" ref="T22:T28" si="10">ROUND(G22*2.75,0)</f>
        <v>63333</v>
      </c>
      <c r="U22" s="280"/>
      <c r="V22" s="280"/>
      <c r="W22" s="280"/>
      <c r="X22" s="280"/>
      <c r="Y22" s="280"/>
      <c r="Z22" s="280"/>
      <c r="AA22" s="281"/>
      <c r="AB22" s="49"/>
      <c r="AC22" s="48"/>
      <c r="AD22" s="157">
        <v>3</v>
      </c>
      <c r="AE22" s="157"/>
      <c r="AF22" s="157"/>
      <c r="AG22" s="157"/>
      <c r="AH22" s="278">
        <f t="shared" si="7"/>
        <v>28790</v>
      </c>
      <c r="AI22" s="278"/>
      <c r="AJ22" s="278"/>
      <c r="AK22" s="278"/>
      <c r="AL22" s="278"/>
      <c r="AM22" s="278">
        <f t="shared" ref="AM22:AM28" si="11">ROUND(AH22*1.75,0)</f>
        <v>50383</v>
      </c>
      <c r="AN22" s="278"/>
      <c r="AO22" s="278"/>
      <c r="AP22" s="278"/>
      <c r="AQ22" s="278"/>
      <c r="AR22" s="278"/>
      <c r="AS22" s="278"/>
      <c r="AT22" s="278"/>
      <c r="AU22" s="279">
        <f t="shared" ref="AU22:AU28" si="12">ROUND(AH22*2.75,0)</f>
        <v>79173</v>
      </c>
      <c r="AV22" s="280"/>
      <c r="AW22" s="280"/>
      <c r="AX22" s="280"/>
      <c r="AY22" s="280"/>
      <c r="AZ22" s="280"/>
      <c r="BA22" s="280"/>
      <c r="BB22" s="281"/>
      <c r="BC22" s="49"/>
      <c r="BD22" s="48"/>
      <c r="BE22" s="157">
        <v>3</v>
      </c>
      <c r="BF22" s="157"/>
      <c r="BG22" s="157"/>
      <c r="BH22" s="157"/>
      <c r="BI22" s="278">
        <f t="shared" si="8"/>
        <v>26490</v>
      </c>
      <c r="BJ22" s="278"/>
      <c r="BK22" s="278"/>
      <c r="BL22" s="278"/>
      <c r="BM22" s="278"/>
      <c r="BN22" s="278">
        <f t="shared" ref="BN22:BN28" si="13">ROUND(BI22*1.75,0)</f>
        <v>46358</v>
      </c>
      <c r="BO22" s="278"/>
      <c r="BP22" s="278"/>
      <c r="BQ22" s="278"/>
      <c r="BR22" s="278"/>
      <c r="BS22" s="278"/>
      <c r="BT22" s="278"/>
      <c r="BU22" s="278"/>
      <c r="BV22" s="279">
        <f t="shared" ref="BV22:BV28" si="14">ROUND(BI22*2.75,0)</f>
        <v>72848</v>
      </c>
      <c r="BW22" s="280"/>
      <c r="BX22" s="280"/>
      <c r="BY22" s="280"/>
      <c r="BZ22" s="280"/>
      <c r="CA22" s="280"/>
      <c r="CB22" s="280"/>
      <c r="CC22" s="281"/>
      <c r="CD22" s="49"/>
    </row>
    <row r="23" spans="2:82" x14ac:dyDescent="0.35">
      <c r="B23" s="48"/>
      <c r="C23" s="157">
        <v>4</v>
      </c>
      <c r="D23" s="157"/>
      <c r="E23" s="157"/>
      <c r="F23" s="157"/>
      <c r="G23" s="278">
        <f t="shared" si="6"/>
        <v>27750</v>
      </c>
      <c r="H23" s="278"/>
      <c r="I23" s="278"/>
      <c r="J23" s="278"/>
      <c r="K23" s="278"/>
      <c r="L23" s="278">
        <f t="shared" si="9"/>
        <v>48563</v>
      </c>
      <c r="M23" s="278"/>
      <c r="N23" s="278"/>
      <c r="O23" s="278"/>
      <c r="P23" s="278"/>
      <c r="Q23" s="278"/>
      <c r="R23" s="278"/>
      <c r="S23" s="278"/>
      <c r="T23" s="279">
        <f t="shared" si="10"/>
        <v>76313</v>
      </c>
      <c r="U23" s="280"/>
      <c r="V23" s="280"/>
      <c r="W23" s="280"/>
      <c r="X23" s="280"/>
      <c r="Y23" s="280"/>
      <c r="Z23" s="280"/>
      <c r="AA23" s="281"/>
      <c r="AB23" s="49"/>
      <c r="AC23" s="48"/>
      <c r="AD23" s="157">
        <v>4</v>
      </c>
      <c r="AE23" s="157"/>
      <c r="AF23" s="157"/>
      <c r="AG23" s="157"/>
      <c r="AH23" s="278">
        <f t="shared" si="7"/>
        <v>34690</v>
      </c>
      <c r="AI23" s="278"/>
      <c r="AJ23" s="278"/>
      <c r="AK23" s="278"/>
      <c r="AL23" s="278"/>
      <c r="AM23" s="278">
        <f t="shared" si="11"/>
        <v>60708</v>
      </c>
      <c r="AN23" s="278"/>
      <c r="AO23" s="278"/>
      <c r="AP23" s="278"/>
      <c r="AQ23" s="278"/>
      <c r="AR23" s="278"/>
      <c r="AS23" s="278"/>
      <c r="AT23" s="278"/>
      <c r="AU23" s="279">
        <f t="shared" si="12"/>
        <v>95398</v>
      </c>
      <c r="AV23" s="280"/>
      <c r="AW23" s="280"/>
      <c r="AX23" s="280"/>
      <c r="AY23" s="280"/>
      <c r="AZ23" s="280"/>
      <c r="BA23" s="280"/>
      <c r="BB23" s="281"/>
      <c r="BC23" s="49"/>
      <c r="BD23" s="48"/>
      <c r="BE23" s="157">
        <v>4</v>
      </c>
      <c r="BF23" s="157"/>
      <c r="BG23" s="157"/>
      <c r="BH23" s="157"/>
      <c r="BI23" s="278">
        <f t="shared" si="8"/>
        <v>31920</v>
      </c>
      <c r="BJ23" s="278"/>
      <c r="BK23" s="278"/>
      <c r="BL23" s="278"/>
      <c r="BM23" s="278"/>
      <c r="BN23" s="278">
        <f t="shared" si="13"/>
        <v>55860</v>
      </c>
      <c r="BO23" s="278"/>
      <c r="BP23" s="278"/>
      <c r="BQ23" s="278"/>
      <c r="BR23" s="278"/>
      <c r="BS23" s="278"/>
      <c r="BT23" s="278"/>
      <c r="BU23" s="278"/>
      <c r="BV23" s="279">
        <f t="shared" si="14"/>
        <v>87780</v>
      </c>
      <c r="BW23" s="280"/>
      <c r="BX23" s="280"/>
      <c r="BY23" s="280"/>
      <c r="BZ23" s="280"/>
      <c r="CA23" s="280"/>
      <c r="CB23" s="280"/>
      <c r="CC23" s="281"/>
      <c r="CD23" s="49"/>
    </row>
    <row r="24" spans="2:82" x14ac:dyDescent="0.35">
      <c r="B24" s="48"/>
      <c r="C24" s="157">
        <v>5</v>
      </c>
      <c r="D24" s="157"/>
      <c r="E24" s="157"/>
      <c r="F24" s="157"/>
      <c r="G24" s="278">
        <f t="shared" si="6"/>
        <v>32470</v>
      </c>
      <c r="H24" s="278"/>
      <c r="I24" s="278"/>
      <c r="J24" s="278"/>
      <c r="K24" s="278"/>
      <c r="L24" s="278">
        <f t="shared" si="9"/>
        <v>56823</v>
      </c>
      <c r="M24" s="278"/>
      <c r="N24" s="278"/>
      <c r="O24" s="278"/>
      <c r="P24" s="278"/>
      <c r="Q24" s="278"/>
      <c r="R24" s="278"/>
      <c r="S24" s="278"/>
      <c r="T24" s="279">
        <f t="shared" si="10"/>
        <v>89293</v>
      </c>
      <c r="U24" s="280"/>
      <c r="V24" s="280"/>
      <c r="W24" s="280"/>
      <c r="X24" s="280"/>
      <c r="Y24" s="280"/>
      <c r="Z24" s="280"/>
      <c r="AA24" s="281"/>
      <c r="AB24" s="49"/>
      <c r="AC24" s="48"/>
      <c r="AD24" s="157">
        <v>5</v>
      </c>
      <c r="AE24" s="157"/>
      <c r="AF24" s="157"/>
      <c r="AG24" s="157"/>
      <c r="AH24" s="278">
        <f t="shared" si="7"/>
        <v>40590</v>
      </c>
      <c r="AI24" s="278"/>
      <c r="AJ24" s="278"/>
      <c r="AK24" s="278"/>
      <c r="AL24" s="278"/>
      <c r="AM24" s="278">
        <f t="shared" si="11"/>
        <v>71033</v>
      </c>
      <c r="AN24" s="278"/>
      <c r="AO24" s="278"/>
      <c r="AP24" s="278"/>
      <c r="AQ24" s="278"/>
      <c r="AR24" s="278"/>
      <c r="AS24" s="278"/>
      <c r="AT24" s="278"/>
      <c r="AU24" s="279">
        <f t="shared" si="12"/>
        <v>111623</v>
      </c>
      <c r="AV24" s="280"/>
      <c r="AW24" s="280"/>
      <c r="AX24" s="280"/>
      <c r="AY24" s="280"/>
      <c r="AZ24" s="280"/>
      <c r="BA24" s="280"/>
      <c r="BB24" s="281"/>
      <c r="BC24" s="49"/>
      <c r="BD24" s="48"/>
      <c r="BE24" s="157">
        <v>5</v>
      </c>
      <c r="BF24" s="157"/>
      <c r="BG24" s="157"/>
      <c r="BH24" s="157"/>
      <c r="BI24" s="278">
        <f t="shared" si="8"/>
        <v>37350</v>
      </c>
      <c r="BJ24" s="278"/>
      <c r="BK24" s="278"/>
      <c r="BL24" s="278"/>
      <c r="BM24" s="278"/>
      <c r="BN24" s="278">
        <f t="shared" si="13"/>
        <v>65363</v>
      </c>
      <c r="BO24" s="278"/>
      <c r="BP24" s="278"/>
      <c r="BQ24" s="278"/>
      <c r="BR24" s="278"/>
      <c r="BS24" s="278"/>
      <c r="BT24" s="278"/>
      <c r="BU24" s="278"/>
      <c r="BV24" s="279">
        <f t="shared" si="14"/>
        <v>102713</v>
      </c>
      <c r="BW24" s="280"/>
      <c r="BX24" s="280"/>
      <c r="BY24" s="280"/>
      <c r="BZ24" s="280"/>
      <c r="CA24" s="280"/>
      <c r="CB24" s="280"/>
      <c r="CC24" s="281"/>
      <c r="CD24" s="49"/>
    </row>
    <row r="25" spans="2:82" x14ac:dyDescent="0.35">
      <c r="B25" s="48"/>
      <c r="C25" s="157">
        <v>6</v>
      </c>
      <c r="D25" s="157"/>
      <c r="E25" s="157"/>
      <c r="F25" s="157"/>
      <c r="G25" s="278">
        <f t="shared" si="6"/>
        <v>37190</v>
      </c>
      <c r="H25" s="278"/>
      <c r="I25" s="278"/>
      <c r="J25" s="278"/>
      <c r="K25" s="278"/>
      <c r="L25" s="278">
        <f t="shared" si="9"/>
        <v>65083</v>
      </c>
      <c r="M25" s="278"/>
      <c r="N25" s="278"/>
      <c r="O25" s="278"/>
      <c r="P25" s="278"/>
      <c r="Q25" s="278"/>
      <c r="R25" s="278"/>
      <c r="S25" s="278"/>
      <c r="T25" s="279">
        <f t="shared" si="10"/>
        <v>102273</v>
      </c>
      <c r="U25" s="280"/>
      <c r="V25" s="280"/>
      <c r="W25" s="280"/>
      <c r="X25" s="280"/>
      <c r="Y25" s="280"/>
      <c r="Z25" s="280"/>
      <c r="AA25" s="281"/>
      <c r="AB25" s="49"/>
      <c r="AC25" s="48"/>
      <c r="AD25" s="157">
        <v>6</v>
      </c>
      <c r="AE25" s="157"/>
      <c r="AF25" s="157"/>
      <c r="AG25" s="157"/>
      <c r="AH25" s="278">
        <f t="shared" si="7"/>
        <v>46490</v>
      </c>
      <c r="AI25" s="278"/>
      <c r="AJ25" s="278"/>
      <c r="AK25" s="278"/>
      <c r="AL25" s="278"/>
      <c r="AM25" s="278">
        <f t="shared" si="11"/>
        <v>81358</v>
      </c>
      <c r="AN25" s="278"/>
      <c r="AO25" s="278"/>
      <c r="AP25" s="278"/>
      <c r="AQ25" s="278"/>
      <c r="AR25" s="278"/>
      <c r="AS25" s="278"/>
      <c r="AT25" s="278"/>
      <c r="AU25" s="279">
        <f t="shared" si="12"/>
        <v>127848</v>
      </c>
      <c r="AV25" s="280"/>
      <c r="AW25" s="280"/>
      <c r="AX25" s="280"/>
      <c r="AY25" s="280"/>
      <c r="AZ25" s="280"/>
      <c r="BA25" s="280"/>
      <c r="BB25" s="281"/>
      <c r="BC25" s="49"/>
      <c r="BD25" s="48"/>
      <c r="BE25" s="157">
        <v>6</v>
      </c>
      <c r="BF25" s="157"/>
      <c r="BG25" s="157"/>
      <c r="BH25" s="157"/>
      <c r="BI25" s="278">
        <f t="shared" si="8"/>
        <v>42780</v>
      </c>
      <c r="BJ25" s="278"/>
      <c r="BK25" s="278"/>
      <c r="BL25" s="278"/>
      <c r="BM25" s="278"/>
      <c r="BN25" s="278">
        <f t="shared" si="13"/>
        <v>74865</v>
      </c>
      <c r="BO25" s="278"/>
      <c r="BP25" s="278"/>
      <c r="BQ25" s="278"/>
      <c r="BR25" s="278"/>
      <c r="BS25" s="278"/>
      <c r="BT25" s="278"/>
      <c r="BU25" s="278"/>
      <c r="BV25" s="279">
        <f t="shared" si="14"/>
        <v>117645</v>
      </c>
      <c r="BW25" s="280"/>
      <c r="BX25" s="280"/>
      <c r="BY25" s="280"/>
      <c r="BZ25" s="280"/>
      <c r="CA25" s="280"/>
      <c r="CB25" s="280"/>
      <c r="CC25" s="281"/>
      <c r="CD25" s="49"/>
    </row>
    <row r="26" spans="2:82" x14ac:dyDescent="0.35">
      <c r="B26" s="48"/>
      <c r="C26" s="157">
        <v>7</v>
      </c>
      <c r="D26" s="157"/>
      <c r="E26" s="157"/>
      <c r="F26" s="157"/>
      <c r="G26" s="278">
        <f t="shared" si="6"/>
        <v>41910</v>
      </c>
      <c r="H26" s="278"/>
      <c r="I26" s="278"/>
      <c r="J26" s="278"/>
      <c r="K26" s="278"/>
      <c r="L26" s="278">
        <f t="shared" si="9"/>
        <v>73343</v>
      </c>
      <c r="M26" s="278"/>
      <c r="N26" s="278"/>
      <c r="O26" s="278"/>
      <c r="P26" s="278"/>
      <c r="Q26" s="278"/>
      <c r="R26" s="278"/>
      <c r="S26" s="278"/>
      <c r="T26" s="279">
        <f t="shared" si="10"/>
        <v>115253</v>
      </c>
      <c r="U26" s="280"/>
      <c r="V26" s="280"/>
      <c r="W26" s="280"/>
      <c r="X26" s="280"/>
      <c r="Y26" s="280"/>
      <c r="Z26" s="280"/>
      <c r="AA26" s="281"/>
      <c r="AB26" s="49"/>
      <c r="AC26" s="48"/>
      <c r="AD26" s="157">
        <v>7</v>
      </c>
      <c r="AE26" s="157"/>
      <c r="AF26" s="157"/>
      <c r="AG26" s="157"/>
      <c r="AH26" s="278">
        <f t="shared" si="7"/>
        <v>52390</v>
      </c>
      <c r="AI26" s="278"/>
      <c r="AJ26" s="278"/>
      <c r="AK26" s="278"/>
      <c r="AL26" s="278"/>
      <c r="AM26" s="278">
        <f t="shared" si="11"/>
        <v>91683</v>
      </c>
      <c r="AN26" s="278"/>
      <c r="AO26" s="278"/>
      <c r="AP26" s="278"/>
      <c r="AQ26" s="278"/>
      <c r="AR26" s="278"/>
      <c r="AS26" s="278"/>
      <c r="AT26" s="278"/>
      <c r="AU26" s="279">
        <f t="shared" si="12"/>
        <v>144073</v>
      </c>
      <c r="AV26" s="280"/>
      <c r="AW26" s="280"/>
      <c r="AX26" s="280"/>
      <c r="AY26" s="280"/>
      <c r="AZ26" s="280"/>
      <c r="BA26" s="280"/>
      <c r="BB26" s="281"/>
      <c r="BC26" s="49"/>
      <c r="BD26" s="48"/>
      <c r="BE26" s="157">
        <v>7</v>
      </c>
      <c r="BF26" s="157"/>
      <c r="BG26" s="157"/>
      <c r="BH26" s="157"/>
      <c r="BI26" s="278">
        <f t="shared" si="8"/>
        <v>48210</v>
      </c>
      <c r="BJ26" s="278"/>
      <c r="BK26" s="278"/>
      <c r="BL26" s="278"/>
      <c r="BM26" s="278"/>
      <c r="BN26" s="278">
        <f t="shared" si="13"/>
        <v>84368</v>
      </c>
      <c r="BO26" s="278"/>
      <c r="BP26" s="278"/>
      <c r="BQ26" s="278"/>
      <c r="BR26" s="278"/>
      <c r="BS26" s="278"/>
      <c r="BT26" s="278"/>
      <c r="BU26" s="278"/>
      <c r="BV26" s="279">
        <f t="shared" si="14"/>
        <v>132578</v>
      </c>
      <c r="BW26" s="280"/>
      <c r="BX26" s="280"/>
      <c r="BY26" s="280"/>
      <c r="BZ26" s="280"/>
      <c r="CA26" s="280"/>
      <c r="CB26" s="280"/>
      <c r="CC26" s="281"/>
      <c r="CD26" s="49"/>
    </row>
    <row r="27" spans="2:82" x14ac:dyDescent="0.35">
      <c r="B27" s="48"/>
      <c r="C27" s="157">
        <v>8</v>
      </c>
      <c r="D27" s="157"/>
      <c r="E27" s="157"/>
      <c r="F27" s="157"/>
      <c r="G27" s="278">
        <f t="shared" si="6"/>
        <v>46630</v>
      </c>
      <c r="H27" s="278"/>
      <c r="I27" s="278"/>
      <c r="J27" s="278"/>
      <c r="K27" s="278"/>
      <c r="L27" s="278">
        <f t="shared" si="9"/>
        <v>81603</v>
      </c>
      <c r="M27" s="278"/>
      <c r="N27" s="278"/>
      <c r="O27" s="278"/>
      <c r="P27" s="278"/>
      <c r="Q27" s="278"/>
      <c r="R27" s="278"/>
      <c r="S27" s="278"/>
      <c r="T27" s="279">
        <f t="shared" si="10"/>
        <v>128233</v>
      </c>
      <c r="U27" s="280"/>
      <c r="V27" s="280"/>
      <c r="W27" s="280"/>
      <c r="X27" s="280"/>
      <c r="Y27" s="280"/>
      <c r="Z27" s="280"/>
      <c r="AA27" s="281"/>
      <c r="AB27" s="49"/>
      <c r="AC27" s="48"/>
      <c r="AD27" s="157">
        <v>8</v>
      </c>
      <c r="AE27" s="157"/>
      <c r="AF27" s="157"/>
      <c r="AG27" s="157"/>
      <c r="AH27" s="278">
        <f t="shared" si="7"/>
        <v>58290</v>
      </c>
      <c r="AI27" s="278"/>
      <c r="AJ27" s="278"/>
      <c r="AK27" s="278"/>
      <c r="AL27" s="278"/>
      <c r="AM27" s="278">
        <f t="shared" si="11"/>
        <v>102008</v>
      </c>
      <c r="AN27" s="278"/>
      <c r="AO27" s="278"/>
      <c r="AP27" s="278"/>
      <c r="AQ27" s="278"/>
      <c r="AR27" s="278"/>
      <c r="AS27" s="278"/>
      <c r="AT27" s="278"/>
      <c r="AU27" s="279">
        <f t="shared" si="12"/>
        <v>160298</v>
      </c>
      <c r="AV27" s="280"/>
      <c r="AW27" s="280"/>
      <c r="AX27" s="280"/>
      <c r="AY27" s="280"/>
      <c r="AZ27" s="280"/>
      <c r="BA27" s="280"/>
      <c r="BB27" s="281"/>
      <c r="BC27" s="49"/>
      <c r="BD27" s="48"/>
      <c r="BE27" s="157">
        <v>8</v>
      </c>
      <c r="BF27" s="157"/>
      <c r="BG27" s="157"/>
      <c r="BH27" s="157"/>
      <c r="BI27" s="278">
        <f t="shared" si="8"/>
        <v>53640</v>
      </c>
      <c r="BJ27" s="278"/>
      <c r="BK27" s="278"/>
      <c r="BL27" s="278"/>
      <c r="BM27" s="278"/>
      <c r="BN27" s="278">
        <f t="shared" si="13"/>
        <v>93870</v>
      </c>
      <c r="BO27" s="278"/>
      <c r="BP27" s="278"/>
      <c r="BQ27" s="278"/>
      <c r="BR27" s="278"/>
      <c r="BS27" s="278"/>
      <c r="BT27" s="278"/>
      <c r="BU27" s="278"/>
      <c r="BV27" s="279">
        <f t="shared" si="14"/>
        <v>147510</v>
      </c>
      <c r="BW27" s="280"/>
      <c r="BX27" s="280"/>
      <c r="BY27" s="280"/>
      <c r="BZ27" s="280"/>
      <c r="CA27" s="280"/>
      <c r="CB27" s="280"/>
      <c r="CC27" s="281"/>
      <c r="CD27" s="49"/>
    </row>
    <row r="28" spans="2:82" x14ac:dyDescent="0.35">
      <c r="B28" s="48"/>
      <c r="C28" s="282">
        <f>C14</f>
        <v>6</v>
      </c>
      <c r="D28" s="157"/>
      <c r="E28" s="157"/>
      <c r="F28" s="157"/>
      <c r="G28" s="278">
        <f>G13+((C14-C13)*(G8-G7))</f>
        <v>37190</v>
      </c>
      <c r="H28" s="278"/>
      <c r="I28" s="278"/>
      <c r="J28" s="278"/>
      <c r="K28" s="278"/>
      <c r="L28" s="278">
        <f t="shared" si="9"/>
        <v>65083</v>
      </c>
      <c r="M28" s="278"/>
      <c r="N28" s="278"/>
      <c r="O28" s="278"/>
      <c r="P28" s="278"/>
      <c r="Q28" s="278"/>
      <c r="R28" s="278"/>
      <c r="S28" s="278"/>
      <c r="T28" s="279">
        <f t="shared" si="10"/>
        <v>102273</v>
      </c>
      <c r="U28" s="280"/>
      <c r="V28" s="280"/>
      <c r="W28" s="280"/>
      <c r="X28" s="280"/>
      <c r="Y28" s="280"/>
      <c r="Z28" s="280"/>
      <c r="AA28" s="281"/>
      <c r="AB28" s="49"/>
      <c r="AC28" s="48"/>
      <c r="AD28" s="282">
        <f>C14</f>
        <v>6</v>
      </c>
      <c r="AE28" s="157"/>
      <c r="AF28" s="157"/>
      <c r="AG28" s="157"/>
      <c r="AH28" s="278">
        <f>AH13+((AD14-AD13)*(AH8-AH7))</f>
        <v>46490</v>
      </c>
      <c r="AI28" s="278"/>
      <c r="AJ28" s="278"/>
      <c r="AK28" s="278"/>
      <c r="AL28" s="278"/>
      <c r="AM28" s="278">
        <f t="shared" si="11"/>
        <v>81358</v>
      </c>
      <c r="AN28" s="278"/>
      <c r="AO28" s="278"/>
      <c r="AP28" s="278"/>
      <c r="AQ28" s="278"/>
      <c r="AR28" s="278"/>
      <c r="AS28" s="278"/>
      <c r="AT28" s="278"/>
      <c r="AU28" s="279">
        <f t="shared" si="12"/>
        <v>127848</v>
      </c>
      <c r="AV28" s="280"/>
      <c r="AW28" s="280"/>
      <c r="AX28" s="280"/>
      <c r="AY28" s="280"/>
      <c r="AZ28" s="280"/>
      <c r="BA28" s="280"/>
      <c r="BB28" s="281"/>
      <c r="BC28" s="49"/>
      <c r="BD28" s="48"/>
      <c r="BE28" s="282">
        <f>C14</f>
        <v>6</v>
      </c>
      <c r="BF28" s="157"/>
      <c r="BG28" s="157"/>
      <c r="BH28" s="157"/>
      <c r="BI28" s="278">
        <f>BI13+((BE14-BE13)*(BI8-BI7))</f>
        <v>42780</v>
      </c>
      <c r="BJ28" s="278"/>
      <c r="BK28" s="278"/>
      <c r="BL28" s="278"/>
      <c r="BM28" s="278"/>
      <c r="BN28" s="278">
        <f t="shared" si="13"/>
        <v>74865</v>
      </c>
      <c r="BO28" s="278"/>
      <c r="BP28" s="278"/>
      <c r="BQ28" s="278"/>
      <c r="BR28" s="278"/>
      <c r="BS28" s="278"/>
      <c r="BT28" s="278"/>
      <c r="BU28" s="278"/>
      <c r="BV28" s="279">
        <f t="shared" si="14"/>
        <v>117645</v>
      </c>
      <c r="BW28" s="280"/>
      <c r="BX28" s="280"/>
      <c r="BY28" s="280"/>
      <c r="BZ28" s="280"/>
      <c r="CA28" s="280"/>
      <c r="CB28" s="280"/>
      <c r="CC28" s="281"/>
      <c r="CD28" s="49"/>
    </row>
    <row r="29" spans="2:82" x14ac:dyDescent="0.35">
      <c r="B29" s="48"/>
      <c r="C29" s="50" t="s">
        <v>177</v>
      </c>
      <c r="D29" s="234" t="s">
        <v>360</v>
      </c>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49"/>
      <c r="AC29" s="48"/>
      <c r="AD29" s="50" t="s">
        <v>177</v>
      </c>
      <c r="AE29" s="234" t="s">
        <v>363</v>
      </c>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49"/>
      <c r="BD29" s="48"/>
      <c r="BE29" s="50" t="s">
        <v>177</v>
      </c>
      <c r="BF29" s="234" t="s">
        <v>362</v>
      </c>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49"/>
    </row>
    <row r="30" spans="2:82" x14ac:dyDescent="0.35">
      <c r="B30" s="48"/>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49"/>
      <c r="AC30" s="48"/>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49"/>
      <c r="BD30" s="48"/>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49"/>
    </row>
    <row r="31" spans="2:82" ht="7.25" customHeight="1" thickBot="1" x14ac:dyDescent="0.4">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3"/>
      <c r="AC31" s="51"/>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3"/>
      <c r="BD31" s="51"/>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3"/>
    </row>
    <row r="32" spans="2:82" ht="15" thickTop="1" x14ac:dyDescent="0.35">
      <c r="B32" s="46"/>
      <c r="C32" s="293" t="s">
        <v>364</v>
      </c>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47"/>
      <c r="AC32" s="46"/>
      <c r="AD32" s="293" t="s">
        <v>368</v>
      </c>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47"/>
      <c r="BD32" s="46"/>
      <c r="BE32" s="293" t="s">
        <v>369</v>
      </c>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47"/>
    </row>
    <row r="33" spans="2:82" ht="7.25" customHeight="1" x14ac:dyDescent="0.35">
      <c r="B33" s="48"/>
      <c r="AB33" s="49"/>
      <c r="AC33" s="48"/>
      <c r="BC33" s="49"/>
      <c r="BD33" s="48"/>
      <c r="CD33" s="49"/>
    </row>
    <row r="34" spans="2:82" ht="14.4" customHeight="1" x14ac:dyDescent="0.35">
      <c r="B34" s="48"/>
      <c r="C34" s="283" t="s">
        <v>370</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5"/>
      <c r="AB34" s="49"/>
      <c r="AC34" s="48"/>
      <c r="AD34" s="283" t="s">
        <v>370</v>
      </c>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5"/>
      <c r="BC34" s="49"/>
      <c r="BD34" s="48"/>
      <c r="BE34" s="283" t="s">
        <v>370</v>
      </c>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5"/>
      <c r="CD34" s="49"/>
    </row>
    <row r="35" spans="2:82" ht="14.4" customHeight="1" x14ac:dyDescent="0.35">
      <c r="B35" s="48"/>
      <c r="C35" s="286" t="s">
        <v>352</v>
      </c>
      <c r="D35" s="286"/>
      <c r="E35" s="286"/>
      <c r="F35" s="286"/>
      <c r="G35" s="287" t="s">
        <v>353</v>
      </c>
      <c r="H35" s="288"/>
      <c r="I35" s="288"/>
      <c r="J35" s="288"/>
      <c r="K35" s="289"/>
      <c r="L35" s="287" t="s">
        <v>371</v>
      </c>
      <c r="M35" s="288"/>
      <c r="N35" s="288"/>
      <c r="O35" s="288"/>
      <c r="P35" s="288"/>
      <c r="Q35" s="288"/>
      <c r="R35" s="288"/>
      <c r="S35" s="289"/>
      <c r="T35" s="287" t="s">
        <v>377</v>
      </c>
      <c r="U35" s="288"/>
      <c r="V35" s="288"/>
      <c r="W35" s="288"/>
      <c r="X35" s="288"/>
      <c r="Y35" s="288"/>
      <c r="Z35" s="288"/>
      <c r="AA35" s="289"/>
      <c r="AB35" s="49"/>
      <c r="AC35" s="48"/>
      <c r="AD35" s="286" t="s">
        <v>352</v>
      </c>
      <c r="AE35" s="286"/>
      <c r="AF35" s="286"/>
      <c r="AG35" s="286"/>
      <c r="AH35" s="287" t="s">
        <v>353</v>
      </c>
      <c r="AI35" s="288"/>
      <c r="AJ35" s="288"/>
      <c r="AK35" s="288"/>
      <c r="AL35" s="289"/>
      <c r="AM35" s="287" t="s">
        <v>371</v>
      </c>
      <c r="AN35" s="288"/>
      <c r="AO35" s="288"/>
      <c r="AP35" s="288"/>
      <c r="AQ35" s="288"/>
      <c r="AR35" s="288"/>
      <c r="AS35" s="288"/>
      <c r="AT35" s="289"/>
      <c r="AU35" s="287" t="s">
        <v>377</v>
      </c>
      <c r="AV35" s="288"/>
      <c r="AW35" s="288"/>
      <c r="AX35" s="288"/>
      <c r="AY35" s="288"/>
      <c r="AZ35" s="288"/>
      <c r="BA35" s="288"/>
      <c r="BB35" s="289"/>
      <c r="BC35" s="49"/>
      <c r="BD35" s="48"/>
      <c r="BE35" s="286" t="s">
        <v>352</v>
      </c>
      <c r="BF35" s="286"/>
      <c r="BG35" s="286"/>
      <c r="BH35" s="286"/>
      <c r="BI35" s="287" t="s">
        <v>353</v>
      </c>
      <c r="BJ35" s="288"/>
      <c r="BK35" s="288"/>
      <c r="BL35" s="288"/>
      <c r="BM35" s="289"/>
      <c r="BN35" s="287" t="s">
        <v>371</v>
      </c>
      <c r="BO35" s="288"/>
      <c r="BP35" s="288"/>
      <c r="BQ35" s="288"/>
      <c r="BR35" s="288"/>
      <c r="BS35" s="288"/>
      <c r="BT35" s="288"/>
      <c r="BU35" s="289"/>
      <c r="BV35" s="287" t="s">
        <v>377</v>
      </c>
      <c r="BW35" s="288"/>
      <c r="BX35" s="288"/>
      <c r="BY35" s="288"/>
      <c r="BZ35" s="288"/>
      <c r="CA35" s="288"/>
      <c r="CB35" s="288"/>
      <c r="CC35" s="289"/>
      <c r="CD35" s="49"/>
    </row>
    <row r="36" spans="2:82" x14ac:dyDescent="0.35">
      <c r="B36" s="48"/>
      <c r="C36" s="286"/>
      <c r="D36" s="286"/>
      <c r="E36" s="286"/>
      <c r="F36" s="286"/>
      <c r="G36" s="290"/>
      <c r="H36" s="291"/>
      <c r="I36" s="291"/>
      <c r="J36" s="291"/>
      <c r="K36" s="292"/>
      <c r="L36" s="290"/>
      <c r="M36" s="291"/>
      <c r="N36" s="291"/>
      <c r="O36" s="291"/>
      <c r="P36" s="291"/>
      <c r="Q36" s="291"/>
      <c r="R36" s="291"/>
      <c r="S36" s="292"/>
      <c r="T36" s="290"/>
      <c r="U36" s="291"/>
      <c r="V36" s="291"/>
      <c r="W36" s="291"/>
      <c r="X36" s="291"/>
      <c r="Y36" s="291"/>
      <c r="Z36" s="291"/>
      <c r="AA36" s="292"/>
      <c r="AB36" s="49"/>
      <c r="AC36" s="48"/>
      <c r="AD36" s="286"/>
      <c r="AE36" s="286"/>
      <c r="AF36" s="286"/>
      <c r="AG36" s="286"/>
      <c r="AH36" s="290"/>
      <c r="AI36" s="291"/>
      <c r="AJ36" s="291"/>
      <c r="AK36" s="291"/>
      <c r="AL36" s="292"/>
      <c r="AM36" s="290"/>
      <c r="AN36" s="291"/>
      <c r="AO36" s="291"/>
      <c r="AP36" s="291"/>
      <c r="AQ36" s="291"/>
      <c r="AR36" s="291"/>
      <c r="AS36" s="291"/>
      <c r="AT36" s="292"/>
      <c r="AU36" s="290"/>
      <c r="AV36" s="291"/>
      <c r="AW36" s="291"/>
      <c r="AX36" s="291"/>
      <c r="AY36" s="291"/>
      <c r="AZ36" s="291"/>
      <c r="BA36" s="291"/>
      <c r="BB36" s="292"/>
      <c r="BC36" s="49"/>
      <c r="BD36" s="48"/>
      <c r="BE36" s="286"/>
      <c r="BF36" s="286"/>
      <c r="BG36" s="286"/>
      <c r="BH36" s="286"/>
      <c r="BI36" s="290"/>
      <c r="BJ36" s="291"/>
      <c r="BK36" s="291"/>
      <c r="BL36" s="291"/>
      <c r="BM36" s="292"/>
      <c r="BN36" s="290"/>
      <c r="BO36" s="291"/>
      <c r="BP36" s="291"/>
      <c r="BQ36" s="291"/>
      <c r="BR36" s="291"/>
      <c r="BS36" s="291"/>
      <c r="BT36" s="291"/>
      <c r="BU36" s="292"/>
      <c r="BV36" s="290"/>
      <c r="BW36" s="291"/>
      <c r="BX36" s="291"/>
      <c r="BY36" s="291"/>
      <c r="BZ36" s="291"/>
      <c r="CA36" s="291"/>
      <c r="CB36" s="291"/>
      <c r="CC36" s="292"/>
      <c r="CD36" s="49"/>
    </row>
    <row r="37" spans="2:82" x14ac:dyDescent="0.35">
      <c r="B37" s="48"/>
      <c r="C37" s="157">
        <v>2</v>
      </c>
      <c r="D37" s="157"/>
      <c r="E37" s="157"/>
      <c r="F37" s="157"/>
      <c r="G37" s="279">
        <f t="shared" ref="G37:G43" si="15">G7</f>
        <v>18310</v>
      </c>
      <c r="H37" s="280"/>
      <c r="I37" s="280"/>
      <c r="J37" s="280"/>
      <c r="K37" s="281"/>
      <c r="L37" s="278">
        <f t="shared" ref="L37:L44" si="16">ROUND(G37*2.25,0)</f>
        <v>41198</v>
      </c>
      <c r="M37" s="278"/>
      <c r="N37" s="278"/>
      <c r="O37" s="278"/>
      <c r="P37" s="278"/>
      <c r="Q37" s="278"/>
      <c r="R37" s="278"/>
      <c r="S37" s="278"/>
      <c r="T37" s="279">
        <f>ROUND(G37*4,0)</f>
        <v>73240</v>
      </c>
      <c r="U37" s="280"/>
      <c r="V37" s="280"/>
      <c r="W37" s="280"/>
      <c r="X37" s="280"/>
      <c r="Y37" s="280"/>
      <c r="Z37" s="280"/>
      <c r="AA37" s="281"/>
      <c r="AB37" s="49"/>
      <c r="AC37" s="48"/>
      <c r="AD37" s="157">
        <v>2</v>
      </c>
      <c r="AE37" s="157"/>
      <c r="AF37" s="157"/>
      <c r="AG37" s="157"/>
      <c r="AH37" s="279">
        <f t="shared" ref="AH37:AH43" si="17">AH7</f>
        <v>22890</v>
      </c>
      <c r="AI37" s="280"/>
      <c r="AJ37" s="280"/>
      <c r="AK37" s="280"/>
      <c r="AL37" s="281"/>
      <c r="AM37" s="278">
        <f t="shared" ref="AM37:AM44" si="18">ROUND(AH37*2.25,0)</f>
        <v>51503</v>
      </c>
      <c r="AN37" s="278"/>
      <c r="AO37" s="278"/>
      <c r="AP37" s="278"/>
      <c r="AQ37" s="278"/>
      <c r="AR37" s="278"/>
      <c r="AS37" s="278"/>
      <c r="AT37" s="278"/>
      <c r="AU37" s="279">
        <f>ROUND(AH37*4,0)</f>
        <v>91560</v>
      </c>
      <c r="AV37" s="280"/>
      <c r="AW37" s="280"/>
      <c r="AX37" s="280"/>
      <c r="AY37" s="280"/>
      <c r="AZ37" s="280"/>
      <c r="BA37" s="280"/>
      <c r="BB37" s="281"/>
      <c r="BC37" s="49"/>
      <c r="BD37" s="48"/>
      <c r="BE37" s="157">
        <v>2</v>
      </c>
      <c r="BF37" s="157"/>
      <c r="BG37" s="157"/>
      <c r="BH37" s="157"/>
      <c r="BI37" s="279">
        <f t="shared" ref="BI37:BI43" si="19">BI7</f>
        <v>21060</v>
      </c>
      <c r="BJ37" s="280"/>
      <c r="BK37" s="280"/>
      <c r="BL37" s="280"/>
      <c r="BM37" s="281"/>
      <c r="BN37" s="278">
        <f t="shared" ref="BN37:BN44" si="20">ROUND(BI37*2.25,0)</f>
        <v>47385</v>
      </c>
      <c r="BO37" s="278"/>
      <c r="BP37" s="278"/>
      <c r="BQ37" s="278"/>
      <c r="BR37" s="278"/>
      <c r="BS37" s="278"/>
      <c r="BT37" s="278"/>
      <c r="BU37" s="278"/>
      <c r="BV37" s="279">
        <f>ROUND(BI37*4,0)</f>
        <v>84240</v>
      </c>
      <c r="BW37" s="280"/>
      <c r="BX37" s="280"/>
      <c r="BY37" s="280"/>
      <c r="BZ37" s="280"/>
      <c r="CA37" s="280"/>
      <c r="CB37" s="280"/>
      <c r="CC37" s="281"/>
      <c r="CD37" s="49"/>
    </row>
    <row r="38" spans="2:82" x14ac:dyDescent="0.35">
      <c r="B38" s="48"/>
      <c r="C38" s="157">
        <v>3</v>
      </c>
      <c r="D38" s="157"/>
      <c r="E38" s="157"/>
      <c r="F38" s="157"/>
      <c r="G38" s="279">
        <f t="shared" si="15"/>
        <v>23030</v>
      </c>
      <c r="H38" s="280"/>
      <c r="I38" s="280"/>
      <c r="J38" s="280"/>
      <c r="K38" s="281"/>
      <c r="L38" s="278">
        <f t="shared" si="16"/>
        <v>51818</v>
      </c>
      <c r="M38" s="278"/>
      <c r="N38" s="278"/>
      <c r="O38" s="278"/>
      <c r="P38" s="278"/>
      <c r="Q38" s="278"/>
      <c r="R38" s="278"/>
      <c r="S38" s="278"/>
      <c r="T38" s="279">
        <f t="shared" ref="T38:T43" si="21">ROUND(G38*4,0)</f>
        <v>92120</v>
      </c>
      <c r="U38" s="280"/>
      <c r="V38" s="280"/>
      <c r="W38" s="280"/>
      <c r="X38" s="280"/>
      <c r="Y38" s="280"/>
      <c r="Z38" s="280"/>
      <c r="AA38" s="281"/>
      <c r="AB38" s="49"/>
      <c r="AC38" s="48"/>
      <c r="AD38" s="157">
        <v>3</v>
      </c>
      <c r="AE38" s="157"/>
      <c r="AF38" s="157"/>
      <c r="AG38" s="157"/>
      <c r="AH38" s="279">
        <f t="shared" si="17"/>
        <v>28790</v>
      </c>
      <c r="AI38" s="280"/>
      <c r="AJ38" s="280"/>
      <c r="AK38" s="280"/>
      <c r="AL38" s="281"/>
      <c r="AM38" s="278">
        <f t="shared" si="18"/>
        <v>64778</v>
      </c>
      <c r="AN38" s="278"/>
      <c r="AO38" s="278"/>
      <c r="AP38" s="278"/>
      <c r="AQ38" s="278"/>
      <c r="AR38" s="278"/>
      <c r="AS38" s="278"/>
      <c r="AT38" s="278"/>
      <c r="AU38" s="279">
        <f t="shared" ref="AU38:AU44" si="22">ROUND(AH38*4,0)</f>
        <v>115160</v>
      </c>
      <c r="AV38" s="280"/>
      <c r="AW38" s="280"/>
      <c r="AX38" s="280"/>
      <c r="AY38" s="280"/>
      <c r="AZ38" s="280"/>
      <c r="BA38" s="280"/>
      <c r="BB38" s="281"/>
      <c r="BC38" s="49"/>
      <c r="BD38" s="48"/>
      <c r="BE38" s="157">
        <v>3</v>
      </c>
      <c r="BF38" s="157"/>
      <c r="BG38" s="157"/>
      <c r="BH38" s="157"/>
      <c r="BI38" s="279">
        <f t="shared" si="19"/>
        <v>26490</v>
      </c>
      <c r="BJ38" s="280"/>
      <c r="BK38" s="280"/>
      <c r="BL38" s="280"/>
      <c r="BM38" s="281"/>
      <c r="BN38" s="278">
        <f t="shared" si="20"/>
        <v>59603</v>
      </c>
      <c r="BO38" s="278"/>
      <c r="BP38" s="278"/>
      <c r="BQ38" s="278"/>
      <c r="BR38" s="278"/>
      <c r="BS38" s="278"/>
      <c r="BT38" s="278"/>
      <c r="BU38" s="278"/>
      <c r="BV38" s="279">
        <f t="shared" ref="BV38:BV44" si="23">ROUND(BI38*4,0)</f>
        <v>105960</v>
      </c>
      <c r="BW38" s="280"/>
      <c r="BX38" s="280"/>
      <c r="BY38" s="280"/>
      <c r="BZ38" s="280"/>
      <c r="CA38" s="280"/>
      <c r="CB38" s="280"/>
      <c r="CC38" s="281"/>
      <c r="CD38" s="49"/>
    </row>
    <row r="39" spans="2:82" x14ac:dyDescent="0.35">
      <c r="B39" s="48"/>
      <c r="C39" s="157">
        <v>4</v>
      </c>
      <c r="D39" s="157"/>
      <c r="E39" s="157"/>
      <c r="F39" s="157"/>
      <c r="G39" s="279">
        <f t="shared" si="15"/>
        <v>27750</v>
      </c>
      <c r="H39" s="280"/>
      <c r="I39" s="280"/>
      <c r="J39" s="280"/>
      <c r="K39" s="281"/>
      <c r="L39" s="278">
        <f t="shared" si="16"/>
        <v>62438</v>
      </c>
      <c r="M39" s="278"/>
      <c r="N39" s="278"/>
      <c r="O39" s="278"/>
      <c r="P39" s="278"/>
      <c r="Q39" s="278"/>
      <c r="R39" s="278"/>
      <c r="S39" s="278"/>
      <c r="T39" s="279">
        <f t="shared" si="21"/>
        <v>111000</v>
      </c>
      <c r="U39" s="280"/>
      <c r="V39" s="280"/>
      <c r="W39" s="280"/>
      <c r="X39" s="280"/>
      <c r="Y39" s="280"/>
      <c r="Z39" s="280"/>
      <c r="AA39" s="281"/>
      <c r="AB39" s="49"/>
      <c r="AC39" s="48"/>
      <c r="AD39" s="157">
        <v>4</v>
      </c>
      <c r="AE39" s="157"/>
      <c r="AF39" s="157"/>
      <c r="AG39" s="157"/>
      <c r="AH39" s="279">
        <f t="shared" si="17"/>
        <v>34690</v>
      </c>
      <c r="AI39" s="280"/>
      <c r="AJ39" s="280"/>
      <c r="AK39" s="280"/>
      <c r="AL39" s="281"/>
      <c r="AM39" s="278">
        <f t="shared" si="18"/>
        <v>78053</v>
      </c>
      <c r="AN39" s="278"/>
      <c r="AO39" s="278"/>
      <c r="AP39" s="278"/>
      <c r="AQ39" s="278"/>
      <c r="AR39" s="278"/>
      <c r="AS39" s="278"/>
      <c r="AT39" s="278"/>
      <c r="AU39" s="279">
        <f t="shared" si="22"/>
        <v>138760</v>
      </c>
      <c r="AV39" s="280"/>
      <c r="AW39" s="280"/>
      <c r="AX39" s="280"/>
      <c r="AY39" s="280"/>
      <c r="AZ39" s="280"/>
      <c r="BA39" s="280"/>
      <c r="BB39" s="281"/>
      <c r="BC39" s="49"/>
      <c r="BD39" s="48"/>
      <c r="BE39" s="157">
        <v>4</v>
      </c>
      <c r="BF39" s="157"/>
      <c r="BG39" s="157"/>
      <c r="BH39" s="157"/>
      <c r="BI39" s="279">
        <f t="shared" si="19"/>
        <v>31920</v>
      </c>
      <c r="BJ39" s="280"/>
      <c r="BK39" s="280"/>
      <c r="BL39" s="280"/>
      <c r="BM39" s="281"/>
      <c r="BN39" s="278">
        <f t="shared" si="20"/>
        <v>71820</v>
      </c>
      <c r="BO39" s="278"/>
      <c r="BP39" s="278"/>
      <c r="BQ39" s="278"/>
      <c r="BR39" s="278"/>
      <c r="BS39" s="278"/>
      <c r="BT39" s="278"/>
      <c r="BU39" s="278"/>
      <c r="BV39" s="279">
        <f t="shared" si="23"/>
        <v>127680</v>
      </c>
      <c r="BW39" s="280"/>
      <c r="BX39" s="280"/>
      <c r="BY39" s="280"/>
      <c r="BZ39" s="280"/>
      <c r="CA39" s="280"/>
      <c r="CB39" s="280"/>
      <c r="CC39" s="281"/>
      <c r="CD39" s="49"/>
    </row>
    <row r="40" spans="2:82" x14ac:dyDescent="0.35">
      <c r="B40" s="48"/>
      <c r="C40" s="157">
        <v>5</v>
      </c>
      <c r="D40" s="157"/>
      <c r="E40" s="157"/>
      <c r="F40" s="157"/>
      <c r="G40" s="279">
        <f t="shared" si="15"/>
        <v>32470</v>
      </c>
      <c r="H40" s="280"/>
      <c r="I40" s="280"/>
      <c r="J40" s="280"/>
      <c r="K40" s="281"/>
      <c r="L40" s="278">
        <f t="shared" si="16"/>
        <v>73058</v>
      </c>
      <c r="M40" s="278"/>
      <c r="N40" s="278"/>
      <c r="O40" s="278"/>
      <c r="P40" s="278"/>
      <c r="Q40" s="278"/>
      <c r="R40" s="278"/>
      <c r="S40" s="278"/>
      <c r="T40" s="279">
        <f t="shared" si="21"/>
        <v>129880</v>
      </c>
      <c r="U40" s="280"/>
      <c r="V40" s="280"/>
      <c r="W40" s="280"/>
      <c r="X40" s="280"/>
      <c r="Y40" s="280"/>
      <c r="Z40" s="280"/>
      <c r="AA40" s="281"/>
      <c r="AB40" s="49"/>
      <c r="AC40" s="48"/>
      <c r="AD40" s="157">
        <v>5</v>
      </c>
      <c r="AE40" s="157"/>
      <c r="AF40" s="157"/>
      <c r="AG40" s="157"/>
      <c r="AH40" s="279">
        <f t="shared" si="17"/>
        <v>40590</v>
      </c>
      <c r="AI40" s="280"/>
      <c r="AJ40" s="280"/>
      <c r="AK40" s="280"/>
      <c r="AL40" s="281"/>
      <c r="AM40" s="278">
        <f t="shared" si="18"/>
        <v>91328</v>
      </c>
      <c r="AN40" s="278"/>
      <c r="AO40" s="278"/>
      <c r="AP40" s="278"/>
      <c r="AQ40" s="278"/>
      <c r="AR40" s="278"/>
      <c r="AS40" s="278"/>
      <c r="AT40" s="278"/>
      <c r="AU40" s="279">
        <f t="shared" si="22"/>
        <v>162360</v>
      </c>
      <c r="AV40" s="280"/>
      <c r="AW40" s="280"/>
      <c r="AX40" s="280"/>
      <c r="AY40" s="280"/>
      <c r="AZ40" s="280"/>
      <c r="BA40" s="280"/>
      <c r="BB40" s="281"/>
      <c r="BC40" s="49"/>
      <c r="BD40" s="48"/>
      <c r="BE40" s="157">
        <v>5</v>
      </c>
      <c r="BF40" s="157"/>
      <c r="BG40" s="157"/>
      <c r="BH40" s="157"/>
      <c r="BI40" s="279">
        <f t="shared" si="19"/>
        <v>37350</v>
      </c>
      <c r="BJ40" s="280"/>
      <c r="BK40" s="280"/>
      <c r="BL40" s="280"/>
      <c r="BM40" s="281"/>
      <c r="BN40" s="278">
        <f t="shared" si="20"/>
        <v>84038</v>
      </c>
      <c r="BO40" s="278"/>
      <c r="BP40" s="278"/>
      <c r="BQ40" s="278"/>
      <c r="BR40" s="278"/>
      <c r="BS40" s="278"/>
      <c r="BT40" s="278"/>
      <c r="BU40" s="278"/>
      <c r="BV40" s="279">
        <f t="shared" si="23"/>
        <v>149400</v>
      </c>
      <c r="BW40" s="280"/>
      <c r="BX40" s="280"/>
      <c r="BY40" s="280"/>
      <c r="BZ40" s="280"/>
      <c r="CA40" s="280"/>
      <c r="CB40" s="280"/>
      <c r="CC40" s="281"/>
      <c r="CD40" s="49"/>
    </row>
    <row r="41" spans="2:82" x14ac:dyDescent="0.35">
      <c r="B41" s="48"/>
      <c r="C41" s="157">
        <v>6</v>
      </c>
      <c r="D41" s="157"/>
      <c r="E41" s="157"/>
      <c r="F41" s="157"/>
      <c r="G41" s="279">
        <f t="shared" si="15"/>
        <v>37190</v>
      </c>
      <c r="H41" s="280"/>
      <c r="I41" s="280"/>
      <c r="J41" s="280"/>
      <c r="K41" s="281"/>
      <c r="L41" s="278">
        <f t="shared" si="16"/>
        <v>83678</v>
      </c>
      <c r="M41" s="278"/>
      <c r="N41" s="278"/>
      <c r="O41" s="278"/>
      <c r="P41" s="278"/>
      <c r="Q41" s="278"/>
      <c r="R41" s="278"/>
      <c r="S41" s="278"/>
      <c r="T41" s="279">
        <f t="shared" si="21"/>
        <v>148760</v>
      </c>
      <c r="U41" s="280"/>
      <c r="V41" s="280"/>
      <c r="W41" s="280"/>
      <c r="X41" s="280"/>
      <c r="Y41" s="280"/>
      <c r="Z41" s="280"/>
      <c r="AA41" s="281"/>
      <c r="AB41" s="49"/>
      <c r="AC41" s="48"/>
      <c r="AD41" s="157">
        <v>6</v>
      </c>
      <c r="AE41" s="157"/>
      <c r="AF41" s="157"/>
      <c r="AG41" s="157"/>
      <c r="AH41" s="279">
        <f t="shared" si="17"/>
        <v>46490</v>
      </c>
      <c r="AI41" s="280"/>
      <c r="AJ41" s="280"/>
      <c r="AK41" s="280"/>
      <c r="AL41" s="281"/>
      <c r="AM41" s="278">
        <f t="shared" si="18"/>
        <v>104603</v>
      </c>
      <c r="AN41" s="278"/>
      <c r="AO41" s="278"/>
      <c r="AP41" s="278"/>
      <c r="AQ41" s="278"/>
      <c r="AR41" s="278"/>
      <c r="AS41" s="278"/>
      <c r="AT41" s="278"/>
      <c r="AU41" s="279">
        <f t="shared" si="22"/>
        <v>185960</v>
      </c>
      <c r="AV41" s="280"/>
      <c r="AW41" s="280"/>
      <c r="AX41" s="280"/>
      <c r="AY41" s="280"/>
      <c r="AZ41" s="280"/>
      <c r="BA41" s="280"/>
      <c r="BB41" s="281"/>
      <c r="BC41" s="49"/>
      <c r="BD41" s="48"/>
      <c r="BE41" s="157">
        <v>6</v>
      </c>
      <c r="BF41" s="157"/>
      <c r="BG41" s="157"/>
      <c r="BH41" s="157"/>
      <c r="BI41" s="279">
        <f t="shared" si="19"/>
        <v>42780</v>
      </c>
      <c r="BJ41" s="280"/>
      <c r="BK41" s="280"/>
      <c r="BL41" s="280"/>
      <c r="BM41" s="281"/>
      <c r="BN41" s="278">
        <f t="shared" si="20"/>
        <v>96255</v>
      </c>
      <c r="BO41" s="278"/>
      <c r="BP41" s="278"/>
      <c r="BQ41" s="278"/>
      <c r="BR41" s="278"/>
      <c r="BS41" s="278"/>
      <c r="BT41" s="278"/>
      <c r="BU41" s="278"/>
      <c r="BV41" s="279">
        <f t="shared" si="23"/>
        <v>171120</v>
      </c>
      <c r="BW41" s="280"/>
      <c r="BX41" s="280"/>
      <c r="BY41" s="280"/>
      <c r="BZ41" s="280"/>
      <c r="CA41" s="280"/>
      <c r="CB41" s="280"/>
      <c r="CC41" s="281"/>
      <c r="CD41" s="49"/>
    </row>
    <row r="42" spans="2:82" x14ac:dyDescent="0.35">
      <c r="B42" s="48"/>
      <c r="C42" s="157">
        <v>7</v>
      </c>
      <c r="D42" s="157"/>
      <c r="E42" s="157"/>
      <c r="F42" s="157"/>
      <c r="G42" s="279">
        <f t="shared" si="15"/>
        <v>41910</v>
      </c>
      <c r="H42" s="280"/>
      <c r="I42" s="280"/>
      <c r="J42" s="280"/>
      <c r="K42" s="281"/>
      <c r="L42" s="278">
        <f t="shared" si="16"/>
        <v>94298</v>
      </c>
      <c r="M42" s="278"/>
      <c r="N42" s="278"/>
      <c r="O42" s="278"/>
      <c r="P42" s="278"/>
      <c r="Q42" s="278"/>
      <c r="R42" s="278"/>
      <c r="S42" s="278"/>
      <c r="T42" s="279">
        <f t="shared" si="21"/>
        <v>167640</v>
      </c>
      <c r="U42" s="280"/>
      <c r="V42" s="280"/>
      <c r="W42" s="280"/>
      <c r="X42" s="280"/>
      <c r="Y42" s="280"/>
      <c r="Z42" s="280"/>
      <c r="AA42" s="281"/>
      <c r="AB42" s="49"/>
      <c r="AC42" s="48"/>
      <c r="AD42" s="157">
        <v>7</v>
      </c>
      <c r="AE42" s="157"/>
      <c r="AF42" s="157"/>
      <c r="AG42" s="157"/>
      <c r="AH42" s="279">
        <f t="shared" si="17"/>
        <v>52390</v>
      </c>
      <c r="AI42" s="280"/>
      <c r="AJ42" s="280"/>
      <c r="AK42" s="280"/>
      <c r="AL42" s="281"/>
      <c r="AM42" s="278">
        <f t="shared" si="18"/>
        <v>117878</v>
      </c>
      <c r="AN42" s="278"/>
      <c r="AO42" s="278"/>
      <c r="AP42" s="278"/>
      <c r="AQ42" s="278"/>
      <c r="AR42" s="278"/>
      <c r="AS42" s="278"/>
      <c r="AT42" s="278"/>
      <c r="AU42" s="279">
        <f t="shared" si="22"/>
        <v>209560</v>
      </c>
      <c r="AV42" s="280"/>
      <c r="AW42" s="280"/>
      <c r="AX42" s="280"/>
      <c r="AY42" s="280"/>
      <c r="AZ42" s="280"/>
      <c r="BA42" s="280"/>
      <c r="BB42" s="281"/>
      <c r="BC42" s="49"/>
      <c r="BD42" s="48"/>
      <c r="BE42" s="157">
        <v>7</v>
      </c>
      <c r="BF42" s="157"/>
      <c r="BG42" s="157"/>
      <c r="BH42" s="157"/>
      <c r="BI42" s="279">
        <f t="shared" si="19"/>
        <v>48210</v>
      </c>
      <c r="BJ42" s="280"/>
      <c r="BK42" s="280"/>
      <c r="BL42" s="280"/>
      <c r="BM42" s="281"/>
      <c r="BN42" s="278">
        <f t="shared" si="20"/>
        <v>108473</v>
      </c>
      <c r="BO42" s="278"/>
      <c r="BP42" s="278"/>
      <c r="BQ42" s="278"/>
      <c r="BR42" s="278"/>
      <c r="BS42" s="278"/>
      <c r="BT42" s="278"/>
      <c r="BU42" s="278"/>
      <c r="BV42" s="279">
        <f t="shared" si="23"/>
        <v>192840</v>
      </c>
      <c r="BW42" s="280"/>
      <c r="BX42" s="280"/>
      <c r="BY42" s="280"/>
      <c r="BZ42" s="280"/>
      <c r="CA42" s="280"/>
      <c r="CB42" s="280"/>
      <c r="CC42" s="281"/>
      <c r="CD42" s="49"/>
    </row>
    <row r="43" spans="2:82" x14ac:dyDescent="0.35">
      <c r="B43" s="48"/>
      <c r="C43" s="157">
        <v>8</v>
      </c>
      <c r="D43" s="157"/>
      <c r="E43" s="157"/>
      <c r="F43" s="157"/>
      <c r="G43" s="279">
        <f t="shared" si="15"/>
        <v>46630</v>
      </c>
      <c r="H43" s="280"/>
      <c r="I43" s="280"/>
      <c r="J43" s="280"/>
      <c r="K43" s="281"/>
      <c r="L43" s="278">
        <f t="shared" si="16"/>
        <v>104918</v>
      </c>
      <c r="M43" s="278"/>
      <c r="N43" s="278"/>
      <c r="O43" s="278"/>
      <c r="P43" s="278"/>
      <c r="Q43" s="278"/>
      <c r="R43" s="278"/>
      <c r="S43" s="278"/>
      <c r="T43" s="279">
        <f t="shared" si="21"/>
        <v>186520</v>
      </c>
      <c r="U43" s="280"/>
      <c r="V43" s="280"/>
      <c r="W43" s="280"/>
      <c r="X43" s="280"/>
      <c r="Y43" s="280"/>
      <c r="Z43" s="280"/>
      <c r="AA43" s="281"/>
      <c r="AB43" s="49"/>
      <c r="AC43" s="48"/>
      <c r="AD43" s="157">
        <v>8</v>
      </c>
      <c r="AE43" s="157"/>
      <c r="AF43" s="157"/>
      <c r="AG43" s="157"/>
      <c r="AH43" s="279">
        <f t="shared" si="17"/>
        <v>58290</v>
      </c>
      <c r="AI43" s="280"/>
      <c r="AJ43" s="280"/>
      <c r="AK43" s="280"/>
      <c r="AL43" s="281"/>
      <c r="AM43" s="278">
        <f t="shared" si="18"/>
        <v>131153</v>
      </c>
      <c r="AN43" s="278"/>
      <c r="AO43" s="278"/>
      <c r="AP43" s="278"/>
      <c r="AQ43" s="278"/>
      <c r="AR43" s="278"/>
      <c r="AS43" s="278"/>
      <c r="AT43" s="278"/>
      <c r="AU43" s="279">
        <f t="shared" si="22"/>
        <v>233160</v>
      </c>
      <c r="AV43" s="280"/>
      <c r="AW43" s="280"/>
      <c r="AX43" s="280"/>
      <c r="AY43" s="280"/>
      <c r="AZ43" s="280"/>
      <c r="BA43" s="280"/>
      <c r="BB43" s="281"/>
      <c r="BC43" s="49"/>
      <c r="BD43" s="48"/>
      <c r="BE43" s="157">
        <v>8</v>
      </c>
      <c r="BF43" s="157"/>
      <c r="BG43" s="157"/>
      <c r="BH43" s="157"/>
      <c r="BI43" s="279">
        <f t="shared" si="19"/>
        <v>53640</v>
      </c>
      <c r="BJ43" s="280"/>
      <c r="BK43" s="280"/>
      <c r="BL43" s="280"/>
      <c r="BM43" s="281"/>
      <c r="BN43" s="278">
        <f t="shared" si="20"/>
        <v>120690</v>
      </c>
      <c r="BO43" s="278"/>
      <c r="BP43" s="278"/>
      <c r="BQ43" s="278"/>
      <c r="BR43" s="278"/>
      <c r="BS43" s="278"/>
      <c r="BT43" s="278"/>
      <c r="BU43" s="278"/>
      <c r="BV43" s="279">
        <f t="shared" si="23"/>
        <v>214560</v>
      </c>
      <c r="BW43" s="280"/>
      <c r="BX43" s="280"/>
      <c r="BY43" s="280"/>
      <c r="BZ43" s="280"/>
      <c r="CA43" s="280"/>
      <c r="CB43" s="280"/>
      <c r="CC43" s="281"/>
      <c r="CD43" s="49"/>
    </row>
    <row r="44" spans="2:82" x14ac:dyDescent="0.35">
      <c r="B44" s="48"/>
      <c r="C44" s="282">
        <f>C14</f>
        <v>6</v>
      </c>
      <c r="D44" s="157"/>
      <c r="E44" s="157"/>
      <c r="F44" s="157"/>
      <c r="G44" s="278">
        <f>G13+((C14-C13)*(G8-G7))</f>
        <v>37190</v>
      </c>
      <c r="H44" s="278"/>
      <c r="I44" s="278"/>
      <c r="J44" s="278"/>
      <c r="K44" s="278"/>
      <c r="L44" s="278">
        <f t="shared" si="16"/>
        <v>83678</v>
      </c>
      <c r="M44" s="278"/>
      <c r="N44" s="278"/>
      <c r="O44" s="278"/>
      <c r="P44" s="278"/>
      <c r="Q44" s="278"/>
      <c r="R44" s="278"/>
      <c r="S44" s="278"/>
      <c r="T44" s="278">
        <f>ROUND(G44*3.25,0)</f>
        <v>120868</v>
      </c>
      <c r="U44" s="278"/>
      <c r="V44" s="278"/>
      <c r="W44" s="278"/>
      <c r="X44" s="278"/>
      <c r="Y44" s="278"/>
      <c r="Z44" s="278"/>
      <c r="AA44" s="278"/>
      <c r="AB44" s="49"/>
      <c r="AC44" s="48"/>
      <c r="AD44" s="282">
        <f>C14</f>
        <v>6</v>
      </c>
      <c r="AE44" s="157"/>
      <c r="AF44" s="157"/>
      <c r="AG44" s="157"/>
      <c r="AH44" s="278">
        <f>AH13+((AD14-AD13)*(AH8-AH7))</f>
        <v>46490</v>
      </c>
      <c r="AI44" s="278"/>
      <c r="AJ44" s="278"/>
      <c r="AK44" s="278"/>
      <c r="AL44" s="278"/>
      <c r="AM44" s="278">
        <f t="shared" si="18"/>
        <v>104603</v>
      </c>
      <c r="AN44" s="278"/>
      <c r="AO44" s="278"/>
      <c r="AP44" s="278"/>
      <c r="AQ44" s="278"/>
      <c r="AR44" s="278"/>
      <c r="AS44" s="278"/>
      <c r="AT44" s="278"/>
      <c r="AU44" s="279">
        <f t="shared" si="22"/>
        <v>185960</v>
      </c>
      <c r="AV44" s="280"/>
      <c r="AW44" s="280"/>
      <c r="AX44" s="280"/>
      <c r="AY44" s="280"/>
      <c r="AZ44" s="280"/>
      <c r="BA44" s="280"/>
      <c r="BB44" s="281"/>
      <c r="BC44" s="49"/>
      <c r="BD44" s="48"/>
      <c r="BE44" s="282">
        <f>C14</f>
        <v>6</v>
      </c>
      <c r="BF44" s="157"/>
      <c r="BG44" s="157"/>
      <c r="BH44" s="157"/>
      <c r="BI44" s="278">
        <f>BI13+((BE14-BE13)*(BI8-BI7))</f>
        <v>42780</v>
      </c>
      <c r="BJ44" s="278"/>
      <c r="BK44" s="278"/>
      <c r="BL44" s="278"/>
      <c r="BM44" s="278"/>
      <c r="BN44" s="278">
        <f t="shared" si="20"/>
        <v>96255</v>
      </c>
      <c r="BO44" s="278"/>
      <c r="BP44" s="278"/>
      <c r="BQ44" s="278"/>
      <c r="BR44" s="278"/>
      <c r="BS44" s="278"/>
      <c r="BT44" s="278"/>
      <c r="BU44" s="278"/>
      <c r="BV44" s="279">
        <f t="shared" si="23"/>
        <v>171120</v>
      </c>
      <c r="BW44" s="280"/>
      <c r="BX44" s="280"/>
      <c r="BY44" s="280"/>
      <c r="BZ44" s="280"/>
      <c r="CA44" s="280"/>
      <c r="CB44" s="280"/>
      <c r="CC44" s="281"/>
      <c r="CD44" s="49"/>
    </row>
    <row r="45" spans="2:82" x14ac:dyDescent="0.35">
      <c r="B45" s="48"/>
      <c r="C45" s="50" t="s">
        <v>177</v>
      </c>
      <c r="D45" s="234" t="s">
        <v>381</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49"/>
      <c r="AC45" s="48"/>
      <c r="AD45" s="50" t="s">
        <v>177</v>
      </c>
      <c r="AE45" s="234" t="s">
        <v>384</v>
      </c>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49"/>
      <c r="BD45" s="48"/>
      <c r="BE45" s="50" t="s">
        <v>177</v>
      </c>
      <c r="BF45" s="234" t="s">
        <v>385</v>
      </c>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49"/>
    </row>
    <row r="46" spans="2:82" x14ac:dyDescent="0.35">
      <c r="B46" s="48"/>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49"/>
      <c r="AC46" s="48"/>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49"/>
      <c r="BD46" s="48"/>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49"/>
    </row>
    <row r="47" spans="2:82" ht="7.25" customHeight="1" x14ac:dyDescent="0.35">
      <c r="B47" s="48"/>
      <c r="AB47" s="49"/>
      <c r="AC47" s="48"/>
      <c r="BC47" s="49"/>
      <c r="BD47" s="48"/>
      <c r="CD47" s="49"/>
    </row>
    <row r="48" spans="2:82" ht="14.4" customHeight="1" x14ac:dyDescent="0.35">
      <c r="B48" s="48"/>
      <c r="C48" s="283" t="s">
        <v>378</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5"/>
      <c r="AB48" s="49"/>
      <c r="AC48" s="48"/>
      <c r="AD48" s="283" t="s">
        <v>378</v>
      </c>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5"/>
      <c r="BC48" s="49"/>
      <c r="BD48" s="48"/>
      <c r="BE48" s="283" t="s">
        <v>378</v>
      </c>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5"/>
      <c r="CD48" s="49"/>
    </row>
    <row r="49" spans="2:82" ht="14.4" customHeight="1" x14ac:dyDescent="0.35">
      <c r="B49" s="48"/>
      <c r="C49" s="286" t="s">
        <v>352</v>
      </c>
      <c r="D49" s="286"/>
      <c r="E49" s="286"/>
      <c r="F49" s="286"/>
      <c r="G49" s="287" t="s">
        <v>353</v>
      </c>
      <c r="H49" s="288"/>
      <c r="I49" s="288"/>
      <c r="J49" s="288"/>
      <c r="K49" s="289"/>
      <c r="L49" s="287" t="s">
        <v>372</v>
      </c>
      <c r="M49" s="288"/>
      <c r="N49" s="288"/>
      <c r="O49" s="288"/>
      <c r="P49" s="288"/>
      <c r="Q49" s="288"/>
      <c r="R49" s="288"/>
      <c r="S49" s="289"/>
      <c r="T49" s="287" t="s">
        <v>379</v>
      </c>
      <c r="U49" s="288"/>
      <c r="V49" s="288"/>
      <c r="W49" s="288"/>
      <c r="X49" s="288"/>
      <c r="Y49" s="288"/>
      <c r="Z49" s="288"/>
      <c r="AA49" s="289"/>
      <c r="AB49" s="49"/>
      <c r="AC49" s="48"/>
      <c r="AD49" s="294" t="s">
        <v>352</v>
      </c>
      <c r="AE49" s="295"/>
      <c r="AF49" s="295"/>
      <c r="AG49" s="296"/>
      <c r="AH49" s="287" t="s">
        <v>353</v>
      </c>
      <c r="AI49" s="288"/>
      <c r="AJ49" s="288"/>
      <c r="AK49" s="288"/>
      <c r="AL49" s="289"/>
      <c r="AM49" s="287" t="s">
        <v>372</v>
      </c>
      <c r="AN49" s="288"/>
      <c r="AO49" s="288"/>
      <c r="AP49" s="288"/>
      <c r="AQ49" s="288"/>
      <c r="AR49" s="288"/>
      <c r="AS49" s="288"/>
      <c r="AT49" s="289"/>
      <c r="AU49" s="287" t="s">
        <v>379</v>
      </c>
      <c r="AV49" s="288"/>
      <c r="AW49" s="288"/>
      <c r="AX49" s="288"/>
      <c r="AY49" s="288"/>
      <c r="AZ49" s="288"/>
      <c r="BA49" s="288"/>
      <c r="BB49" s="289"/>
      <c r="BC49" s="49"/>
      <c r="BD49" s="48"/>
      <c r="BE49" s="286" t="s">
        <v>352</v>
      </c>
      <c r="BF49" s="286"/>
      <c r="BG49" s="286"/>
      <c r="BH49" s="286"/>
      <c r="BI49" s="287" t="s">
        <v>353</v>
      </c>
      <c r="BJ49" s="288"/>
      <c r="BK49" s="288"/>
      <c r="BL49" s="288"/>
      <c r="BM49" s="289"/>
      <c r="BN49" s="287" t="s">
        <v>372</v>
      </c>
      <c r="BO49" s="288"/>
      <c r="BP49" s="288"/>
      <c r="BQ49" s="288"/>
      <c r="BR49" s="288"/>
      <c r="BS49" s="288"/>
      <c r="BT49" s="288"/>
      <c r="BU49" s="289"/>
      <c r="BV49" s="287" t="s">
        <v>379</v>
      </c>
      <c r="BW49" s="288"/>
      <c r="BX49" s="288"/>
      <c r="BY49" s="288"/>
      <c r="BZ49" s="288"/>
      <c r="CA49" s="288"/>
      <c r="CB49" s="288"/>
      <c r="CC49" s="289"/>
      <c r="CD49" s="49"/>
    </row>
    <row r="50" spans="2:82" x14ac:dyDescent="0.35">
      <c r="B50" s="48"/>
      <c r="C50" s="286"/>
      <c r="D50" s="286"/>
      <c r="E50" s="286"/>
      <c r="F50" s="286"/>
      <c r="G50" s="290"/>
      <c r="H50" s="291"/>
      <c r="I50" s="291"/>
      <c r="J50" s="291"/>
      <c r="K50" s="292"/>
      <c r="L50" s="290"/>
      <c r="M50" s="291"/>
      <c r="N50" s="291"/>
      <c r="O50" s="291"/>
      <c r="P50" s="291"/>
      <c r="Q50" s="291"/>
      <c r="R50" s="291"/>
      <c r="S50" s="292"/>
      <c r="T50" s="290"/>
      <c r="U50" s="291"/>
      <c r="V50" s="291"/>
      <c r="W50" s="291"/>
      <c r="X50" s="291"/>
      <c r="Y50" s="291"/>
      <c r="Z50" s="291"/>
      <c r="AA50" s="292"/>
      <c r="AB50" s="49"/>
      <c r="AC50" s="48"/>
      <c r="AD50" s="297"/>
      <c r="AE50" s="298"/>
      <c r="AF50" s="298"/>
      <c r="AG50" s="299"/>
      <c r="AH50" s="290"/>
      <c r="AI50" s="291"/>
      <c r="AJ50" s="291"/>
      <c r="AK50" s="291"/>
      <c r="AL50" s="292"/>
      <c r="AM50" s="290"/>
      <c r="AN50" s="291"/>
      <c r="AO50" s="291"/>
      <c r="AP50" s="291"/>
      <c r="AQ50" s="291"/>
      <c r="AR50" s="291"/>
      <c r="AS50" s="291"/>
      <c r="AT50" s="292"/>
      <c r="AU50" s="290"/>
      <c r="AV50" s="291"/>
      <c r="AW50" s="291"/>
      <c r="AX50" s="291"/>
      <c r="AY50" s="291"/>
      <c r="AZ50" s="291"/>
      <c r="BA50" s="291"/>
      <c r="BB50" s="292"/>
      <c r="BC50" s="49"/>
      <c r="BD50" s="48"/>
      <c r="BE50" s="286"/>
      <c r="BF50" s="286"/>
      <c r="BG50" s="286"/>
      <c r="BH50" s="286"/>
      <c r="BI50" s="290"/>
      <c r="BJ50" s="291"/>
      <c r="BK50" s="291"/>
      <c r="BL50" s="291"/>
      <c r="BM50" s="292"/>
      <c r="BN50" s="290"/>
      <c r="BO50" s="291"/>
      <c r="BP50" s="291"/>
      <c r="BQ50" s="291"/>
      <c r="BR50" s="291"/>
      <c r="BS50" s="291"/>
      <c r="BT50" s="291"/>
      <c r="BU50" s="292"/>
      <c r="BV50" s="290"/>
      <c r="BW50" s="291"/>
      <c r="BX50" s="291"/>
      <c r="BY50" s="291"/>
      <c r="BZ50" s="291"/>
      <c r="CA50" s="291"/>
      <c r="CB50" s="291"/>
      <c r="CC50" s="292"/>
      <c r="CD50" s="49"/>
    </row>
    <row r="51" spans="2:82" x14ac:dyDescent="0.35">
      <c r="B51" s="48"/>
      <c r="C51" s="157">
        <v>2</v>
      </c>
      <c r="D51" s="157"/>
      <c r="E51" s="157"/>
      <c r="F51" s="157"/>
      <c r="G51" s="278">
        <f t="shared" ref="G51:G57" si="24">G7</f>
        <v>18310</v>
      </c>
      <c r="H51" s="278"/>
      <c r="I51" s="278"/>
      <c r="J51" s="278"/>
      <c r="K51" s="278"/>
      <c r="L51" s="278">
        <f>ROUND(G51*1.75,0)</f>
        <v>32043</v>
      </c>
      <c r="M51" s="278"/>
      <c r="N51" s="278"/>
      <c r="O51" s="278"/>
      <c r="P51" s="278"/>
      <c r="Q51" s="278"/>
      <c r="R51" s="278"/>
      <c r="S51" s="278"/>
      <c r="T51" s="279">
        <f>ROUND(G51*3.5,0)</f>
        <v>64085</v>
      </c>
      <c r="U51" s="280"/>
      <c r="V51" s="280"/>
      <c r="W51" s="280"/>
      <c r="X51" s="280"/>
      <c r="Y51" s="280"/>
      <c r="Z51" s="280"/>
      <c r="AA51" s="281"/>
      <c r="AB51" s="49"/>
      <c r="AC51" s="48"/>
      <c r="AD51" s="157">
        <v>2</v>
      </c>
      <c r="AE51" s="157"/>
      <c r="AF51" s="157"/>
      <c r="AG51" s="157"/>
      <c r="AH51" s="278">
        <f t="shared" ref="AH51:AH57" si="25">AH7</f>
        <v>22890</v>
      </c>
      <c r="AI51" s="278"/>
      <c r="AJ51" s="278"/>
      <c r="AK51" s="278"/>
      <c r="AL51" s="278"/>
      <c r="AM51" s="278">
        <f>ROUND(AH51*1.75,0)</f>
        <v>40058</v>
      </c>
      <c r="AN51" s="278"/>
      <c r="AO51" s="278"/>
      <c r="AP51" s="278"/>
      <c r="AQ51" s="278"/>
      <c r="AR51" s="278"/>
      <c r="AS51" s="278"/>
      <c r="AT51" s="278"/>
      <c r="AU51" s="279">
        <f>ROUND(AH51*3.5,0)</f>
        <v>80115</v>
      </c>
      <c r="AV51" s="280"/>
      <c r="AW51" s="280"/>
      <c r="AX51" s="280"/>
      <c r="AY51" s="280"/>
      <c r="AZ51" s="280"/>
      <c r="BA51" s="280"/>
      <c r="BB51" s="281"/>
      <c r="BC51" s="49"/>
      <c r="BD51" s="48"/>
      <c r="BE51" s="157">
        <v>2</v>
      </c>
      <c r="BF51" s="157"/>
      <c r="BG51" s="157"/>
      <c r="BH51" s="157"/>
      <c r="BI51" s="278">
        <f t="shared" ref="BI51:BI57" si="26">BI7</f>
        <v>21060</v>
      </c>
      <c r="BJ51" s="278"/>
      <c r="BK51" s="278"/>
      <c r="BL51" s="278"/>
      <c r="BM51" s="278"/>
      <c r="BN51" s="278">
        <f>ROUND(BI51*1.75,0)</f>
        <v>36855</v>
      </c>
      <c r="BO51" s="278"/>
      <c r="BP51" s="278"/>
      <c r="BQ51" s="278"/>
      <c r="BR51" s="278"/>
      <c r="BS51" s="278"/>
      <c r="BT51" s="278"/>
      <c r="BU51" s="278"/>
      <c r="BV51" s="279">
        <f>ROUND(BI51*3.5,0)</f>
        <v>73710</v>
      </c>
      <c r="BW51" s="280"/>
      <c r="BX51" s="280"/>
      <c r="BY51" s="280"/>
      <c r="BZ51" s="280"/>
      <c r="CA51" s="280"/>
      <c r="CB51" s="280"/>
      <c r="CC51" s="281"/>
      <c r="CD51" s="49"/>
    </row>
    <row r="52" spans="2:82" x14ac:dyDescent="0.35">
      <c r="B52" s="48"/>
      <c r="C52" s="157">
        <v>3</v>
      </c>
      <c r="D52" s="157"/>
      <c r="E52" s="157"/>
      <c r="F52" s="157"/>
      <c r="G52" s="278">
        <f t="shared" si="24"/>
        <v>23030</v>
      </c>
      <c r="H52" s="278"/>
      <c r="I52" s="278"/>
      <c r="J52" s="278"/>
      <c r="K52" s="278"/>
      <c r="L52" s="278">
        <f t="shared" ref="L52:L58" si="27">ROUND(G52*1.75,0)</f>
        <v>40303</v>
      </c>
      <c r="M52" s="278"/>
      <c r="N52" s="278"/>
      <c r="O52" s="278"/>
      <c r="P52" s="278"/>
      <c r="Q52" s="278"/>
      <c r="R52" s="278"/>
      <c r="S52" s="278"/>
      <c r="T52" s="279">
        <f t="shared" ref="T52:T58" si="28">ROUND(G52*3.5,0)</f>
        <v>80605</v>
      </c>
      <c r="U52" s="280"/>
      <c r="V52" s="280"/>
      <c r="W52" s="280"/>
      <c r="X52" s="280"/>
      <c r="Y52" s="280"/>
      <c r="Z52" s="280"/>
      <c r="AA52" s="281"/>
      <c r="AB52" s="49"/>
      <c r="AC52" s="48"/>
      <c r="AD52" s="157">
        <v>3</v>
      </c>
      <c r="AE52" s="157"/>
      <c r="AF52" s="157"/>
      <c r="AG52" s="157"/>
      <c r="AH52" s="278">
        <f t="shared" si="25"/>
        <v>28790</v>
      </c>
      <c r="AI52" s="278"/>
      <c r="AJ52" s="278"/>
      <c r="AK52" s="278"/>
      <c r="AL52" s="278"/>
      <c r="AM52" s="278">
        <f t="shared" ref="AM52:AM58" si="29">ROUND(AH52*1.75,0)</f>
        <v>50383</v>
      </c>
      <c r="AN52" s="278"/>
      <c r="AO52" s="278"/>
      <c r="AP52" s="278"/>
      <c r="AQ52" s="278"/>
      <c r="AR52" s="278"/>
      <c r="AS52" s="278"/>
      <c r="AT52" s="278"/>
      <c r="AU52" s="279">
        <f t="shared" ref="AU52:AU58" si="30">ROUND(AH52*3.5,0)</f>
        <v>100765</v>
      </c>
      <c r="AV52" s="280"/>
      <c r="AW52" s="280"/>
      <c r="AX52" s="280"/>
      <c r="AY52" s="280"/>
      <c r="AZ52" s="280"/>
      <c r="BA52" s="280"/>
      <c r="BB52" s="281"/>
      <c r="BC52" s="49"/>
      <c r="BD52" s="48"/>
      <c r="BE52" s="157">
        <v>3</v>
      </c>
      <c r="BF52" s="157"/>
      <c r="BG52" s="157"/>
      <c r="BH52" s="157"/>
      <c r="BI52" s="278">
        <f t="shared" si="26"/>
        <v>26490</v>
      </c>
      <c r="BJ52" s="278"/>
      <c r="BK52" s="278"/>
      <c r="BL52" s="278"/>
      <c r="BM52" s="278"/>
      <c r="BN52" s="278">
        <f t="shared" ref="BN52:BN58" si="31">ROUND(BI52*1.75,0)</f>
        <v>46358</v>
      </c>
      <c r="BO52" s="278"/>
      <c r="BP52" s="278"/>
      <c r="BQ52" s="278"/>
      <c r="BR52" s="278"/>
      <c r="BS52" s="278"/>
      <c r="BT52" s="278"/>
      <c r="BU52" s="278"/>
      <c r="BV52" s="279">
        <f t="shared" ref="BV52:BV58" si="32">ROUND(BI52*3.5,0)</f>
        <v>92715</v>
      </c>
      <c r="BW52" s="280"/>
      <c r="BX52" s="280"/>
      <c r="BY52" s="280"/>
      <c r="BZ52" s="280"/>
      <c r="CA52" s="280"/>
      <c r="CB52" s="280"/>
      <c r="CC52" s="281"/>
      <c r="CD52" s="49"/>
    </row>
    <row r="53" spans="2:82" x14ac:dyDescent="0.35">
      <c r="B53" s="48"/>
      <c r="C53" s="157">
        <v>4</v>
      </c>
      <c r="D53" s="157"/>
      <c r="E53" s="157"/>
      <c r="F53" s="157"/>
      <c r="G53" s="278">
        <f t="shared" si="24"/>
        <v>27750</v>
      </c>
      <c r="H53" s="278"/>
      <c r="I53" s="278"/>
      <c r="J53" s="278"/>
      <c r="K53" s="278"/>
      <c r="L53" s="278">
        <f t="shared" si="27"/>
        <v>48563</v>
      </c>
      <c r="M53" s="278"/>
      <c r="N53" s="278"/>
      <c r="O53" s="278"/>
      <c r="P53" s="278"/>
      <c r="Q53" s="278"/>
      <c r="R53" s="278"/>
      <c r="S53" s="278"/>
      <c r="T53" s="279">
        <f t="shared" si="28"/>
        <v>97125</v>
      </c>
      <c r="U53" s="280"/>
      <c r="V53" s="280"/>
      <c r="W53" s="280"/>
      <c r="X53" s="280"/>
      <c r="Y53" s="280"/>
      <c r="Z53" s="280"/>
      <c r="AA53" s="281"/>
      <c r="AB53" s="49"/>
      <c r="AC53" s="48"/>
      <c r="AD53" s="157">
        <v>4</v>
      </c>
      <c r="AE53" s="157"/>
      <c r="AF53" s="157"/>
      <c r="AG53" s="157"/>
      <c r="AH53" s="278">
        <f t="shared" si="25"/>
        <v>34690</v>
      </c>
      <c r="AI53" s="278"/>
      <c r="AJ53" s="278"/>
      <c r="AK53" s="278"/>
      <c r="AL53" s="278"/>
      <c r="AM53" s="278">
        <f t="shared" si="29"/>
        <v>60708</v>
      </c>
      <c r="AN53" s="278"/>
      <c r="AO53" s="278"/>
      <c r="AP53" s="278"/>
      <c r="AQ53" s="278"/>
      <c r="AR53" s="278"/>
      <c r="AS53" s="278"/>
      <c r="AT53" s="278"/>
      <c r="AU53" s="279">
        <f t="shared" si="30"/>
        <v>121415</v>
      </c>
      <c r="AV53" s="280"/>
      <c r="AW53" s="280"/>
      <c r="AX53" s="280"/>
      <c r="AY53" s="280"/>
      <c r="AZ53" s="280"/>
      <c r="BA53" s="280"/>
      <c r="BB53" s="281"/>
      <c r="BC53" s="49"/>
      <c r="BD53" s="48"/>
      <c r="BE53" s="157">
        <v>4</v>
      </c>
      <c r="BF53" s="157"/>
      <c r="BG53" s="157"/>
      <c r="BH53" s="157"/>
      <c r="BI53" s="278">
        <f t="shared" si="26"/>
        <v>31920</v>
      </c>
      <c r="BJ53" s="278"/>
      <c r="BK53" s="278"/>
      <c r="BL53" s="278"/>
      <c r="BM53" s="278"/>
      <c r="BN53" s="278">
        <f t="shared" si="31"/>
        <v>55860</v>
      </c>
      <c r="BO53" s="278"/>
      <c r="BP53" s="278"/>
      <c r="BQ53" s="278"/>
      <c r="BR53" s="278"/>
      <c r="BS53" s="278"/>
      <c r="BT53" s="278"/>
      <c r="BU53" s="278"/>
      <c r="BV53" s="279">
        <f t="shared" si="32"/>
        <v>111720</v>
      </c>
      <c r="BW53" s="280"/>
      <c r="BX53" s="280"/>
      <c r="BY53" s="280"/>
      <c r="BZ53" s="280"/>
      <c r="CA53" s="280"/>
      <c r="CB53" s="280"/>
      <c r="CC53" s="281"/>
      <c r="CD53" s="49"/>
    </row>
    <row r="54" spans="2:82" x14ac:dyDescent="0.35">
      <c r="B54" s="48"/>
      <c r="C54" s="157">
        <v>5</v>
      </c>
      <c r="D54" s="157"/>
      <c r="E54" s="157"/>
      <c r="F54" s="157"/>
      <c r="G54" s="278">
        <f t="shared" si="24"/>
        <v>32470</v>
      </c>
      <c r="H54" s="278"/>
      <c r="I54" s="278"/>
      <c r="J54" s="278"/>
      <c r="K54" s="278"/>
      <c r="L54" s="278">
        <f t="shared" si="27"/>
        <v>56823</v>
      </c>
      <c r="M54" s="278"/>
      <c r="N54" s="278"/>
      <c r="O54" s="278"/>
      <c r="P54" s="278"/>
      <c r="Q54" s="278"/>
      <c r="R54" s="278"/>
      <c r="S54" s="278"/>
      <c r="T54" s="279">
        <f t="shared" si="28"/>
        <v>113645</v>
      </c>
      <c r="U54" s="280"/>
      <c r="V54" s="280"/>
      <c r="W54" s="280"/>
      <c r="X54" s="280"/>
      <c r="Y54" s="280"/>
      <c r="Z54" s="280"/>
      <c r="AA54" s="281"/>
      <c r="AB54" s="49"/>
      <c r="AC54" s="48"/>
      <c r="AD54" s="157">
        <v>5</v>
      </c>
      <c r="AE54" s="157"/>
      <c r="AF54" s="157"/>
      <c r="AG54" s="157"/>
      <c r="AH54" s="278">
        <f t="shared" si="25"/>
        <v>40590</v>
      </c>
      <c r="AI54" s="278"/>
      <c r="AJ54" s="278"/>
      <c r="AK54" s="278"/>
      <c r="AL54" s="278"/>
      <c r="AM54" s="278">
        <f t="shared" si="29"/>
        <v>71033</v>
      </c>
      <c r="AN54" s="278"/>
      <c r="AO54" s="278"/>
      <c r="AP54" s="278"/>
      <c r="AQ54" s="278"/>
      <c r="AR54" s="278"/>
      <c r="AS54" s="278"/>
      <c r="AT54" s="278"/>
      <c r="AU54" s="279">
        <f t="shared" si="30"/>
        <v>142065</v>
      </c>
      <c r="AV54" s="280"/>
      <c r="AW54" s="280"/>
      <c r="AX54" s="280"/>
      <c r="AY54" s="280"/>
      <c r="AZ54" s="280"/>
      <c r="BA54" s="280"/>
      <c r="BB54" s="281"/>
      <c r="BC54" s="49"/>
      <c r="BD54" s="48"/>
      <c r="BE54" s="157">
        <v>5</v>
      </c>
      <c r="BF54" s="157"/>
      <c r="BG54" s="157"/>
      <c r="BH54" s="157"/>
      <c r="BI54" s="278">
        <f t="shared" si="26"/>
        <v>37350</v>
      </c>
      <c r="BJ54" s="278"/>
      <c r="BK54" s="278"/>
      <c r="BL54" s="278"/>
      <c r="BM54" s="278"/>
      <c r="BN54" s="278">
        <f t="shared" si="31"/>
        <v>65363</v>
      </c>
      <c r="BO54" s="278"/>
      <c r="BP54" s="278"/>
      <c r="BQ54" s="278"/>
      <c r="BR54" s="278"/>
      <c r="BS54" s="278"/>
      <c r="BT54" s="278"/>
      <c r="BU54" s="278"/>
      <c r="BV54" s="279">
        <f t="shared" si="32"/>
        <v>130725</v>
      </c>
      <c r="BW54" s="280"/>
      <c r="BX54" s="280"/>
      <c r="BY54" s="280"/>
      <c r="BZ54" s="280"/>
      <c r="CA54" s="280"/>
      <c r="CB54" s="280"/>
      <c r="CC54" s="281"/>
      <c r="CD54" s="49"/>
    </row>
    <row r="55" spans="2:82" x14ac:dyDescent="0.35">
      <c r="B55" s="48"/>
      <c r="C55" s="157">
        <v>6</v>
      </c>
      <c r="D55" s="157"/>
      <c r="E55" s="157"/>
      <c r="F55" s="157"/>
      <c r="G55" s="278">
        <f t="shared" si="24"/>
        <v>37190</v>
      </c>
      <c r="H55" s="278"/>
      <c r="I55" s="278"/>
      <c r="J55" s="278"/>
      <c r="K55" s="278"/>
      <c r="L55" s="278">
        <f t="shared" si="27"/>
        <v>65083</v>
      </c>
      <c r="M55" s="278"/>
      <c r="N55" s="278"/>
      <c r="O55" s="278"/>
      <c r="P55" s="278"/>
      <c r="Q55" s="278"/>
      <c r="R55" s="278"/>
      <c r="S55" s="278"/>
      <c r="T55" s="279">
        <f t="shared" si="28"/>
        <v>130165</v>
      </c>
      <c r="U55" s="280"/>
      <c r="V55" s="280"/>
      <c r="W55" s="280"/>
      <c r="X55" s="280"/>
      <c r="Y55" s="280"/>
      <c r="Z55" s="280"/>
      <c r="AA55" s="281"/>
      <c r="AB55" s="49"/>
      <c r="AC55" s="48"/>
      <c r="AD55" s="157">
        <v>6</v>
      </c>
      <c r="AE55" s="157"/>
      <c r="AF55" s="157"/>
      <c r="AG55" s="157"/>
      <c r="AH55" s="278">
        <f t="shared" si="25"/>
        <v>46490</v>
      </c>
      <c r="AI55" s="278"/>
      <c r="AJ55" s="278"/>
      <c r="AK55" s="278"/>
      <c r="AL55" s="278"/>
      <c r="AM55" s="278">
        <f t="shared" si="29"/>
        <v>81358</v>
      </c>
      <c r="AN55" s="278"/>
      <c r="AO55" s="278"/>
      <c r="AP55" s="278"/>
      <c r="AQ55" s="278"/>
      <c r="AR55" s="278"/>
      <c r="AS55" s="278"/>
      <c r="AT55" s="278"/>
      <c r="AU55" s="279">
        <f t="shared" si="30"/>
        <v>162715</v>
      </c>
      <c r="AV55" s="280"/>
      <c r="AW55" s="280"/>
      <c r="AX55" s="280"/>
      <c r="AY55" s="280"/>
      <c r="AZ55" s="280"/>
      <c r="BA55" s="280"/>
      <c r="BB55" s="281"/>
      <c r="BC55" s="49"/>
      <c r="BD55" s="48"/>
      <c r="BE55" s="157">
        <v>6</v>
      </c>
      <c r="BF55" s="157"/>
      <c r="BG55" s="157"/>
      <c r="BH55" s="157"/>
      <c r="BI55" s="278">
        <f t="shared" si="26"/>
        <v>42780</v>
      </c>
      <c r="BJ55" s="278"/>
      <c r="BK55" s="278"/>
      <c r="BL55" s="278"/>
      <c r="BM55" s="278"/>
      <c r="BN55" s="278">
        <f t="shared" si="31"/>
        <v>74865</v>
      </c>
      <c r="BO55" s="278"/>
      <c r="BP55" s="278"/>
      <c r="BQ55" s="278"/>
      <c r="BR55" s="278"/>
      <c r="BS55" s="278"/>
      <c r="BT55" s="278"/>
      <c r="BU55" s="278"/>
      <c r="BV55" s="279">
        <f t="shared" si="32"/>
        <v>149730</v>
      </c>
      <c r="BW55" s="280"/>
      <c r="BX55" s="280"/>
      <c r="BY55" s="280"/>
      <c r="BZ55" s="280"/>
      <c r="CA55" s="280"/>
      <c r="CB55" s="280"/>
      <c r="CC55" s="281"/>
      <c r="CD55" s="49"/>
    </row>
    <row r="56" spans="2:82" x14ac:dyDescent="0.35">
      <c r="B56" s="48"/>
      <c r="C56" s="157">
        <v>7</v>
      </c>
      <c r="D56" s="157"/>
      <c r="E56" s="157"/>
      <c r="F56" s="157"/>
      <c r="G56" s="278">
        <f t="shared" si="24"/>
        <v>41910</v>
      </c>
      <c r="H56" s="278"/>
      <c r="I56" s="278"/>
      <c r="J56" s="278"/>
      <c r="K56" s="278"/>
      <c r="L56" s="278">
        <f t="shared" si="27"/>
        <v>73343</v>
      </c>
      <c r="M56" s="278"/>
      <c r="N56" s="278"/>
      <c r="O56" s="278"/>
      <c r="P56" s="278"/>
      <c r="Q56" s="278"/>
      <c r="R56" s="278"/>
      <c r="S56" s="278"/>
      <c r="T56" s="279">
        <f t="shared" si="28"/>
        <v>146685</v>
      </c>
      <c r="U56" s="280"/>
      <c r="V56" s="280"/>
      <c r="W56" s="280"/>
      <c r="X56" s="280"/>
      <c r="Y56" s="280"/>
      <c r="Z56" s="280"/>
      <c r="AA56" s="281"/>
      <c r="AB56" s="49"/>
      <c r="AC56" s="48"/>
      <c r="AD56" s="157">
        <v>7</v>
      </c>
      <c r="AE56" s="157"/>
      <c r="AF56" s="157"/>
      <c r="AG56" s="157"/>
      <c r="AH56" s="278">
        <f t="shared" si="25"/>
        <v>52390</v>
      </c>
      <c r="AI56" s="278"/>
      <c r="AJ56" s="278"/>
      <c r="AK56" s="278"/>
      <c r="AL56" s="278"/>
      <c r="AM56" s="278">
        <f t="shared" si="29"/>
        <v>91683</v>
      </c>
      <c r="AN56" s="278"/>
      <c r="AO56" s="278"/>
      <c r="AP56" s="278"/>
      <c r="AQ56" s="278"/>
      <c r="AR56" s="278"/>
      <c r="AS56" s="278"/>
      <c r="AT56" s="278"/>
      <c r="AU56" s="279">
        <f t="shared" si="30"/>
        <v>183365</v>
      </c>
      <c r="AV56" s="280"/>
      <c r="AW56" s="280"/>
      <c r="AX56" s="280"/>
      <c r="AY56" s="280"/>
      <c r="AZ56" s="280"/>
      <c r="BA56" s="280"/>
      <c r="BB56" s="281"/>
      <c r="BC56" s="49"/>
      <c r="BD56" s="48"/>
      <c r="BE56" s="157">
        <v>7</v>
      </c>
      <c r="BF56" s="157"/>
      <c r="BG56" s="157"/>
      <c r="BH56" s="157"/>
      <c r="BI56" s="278">
        <f t="shared" si="26"/>
        <v>48210</v>
      </c>
      <c r="BJ56" s="278"/>
      <c r="BK56" s="278"/>
      <c r="BL56" s="278"/>
      <c r="BM56" s="278"/>
      <c r="BN56" s="278">
        <f t="shared" si="31"/>
        <v>84368</v>
      </c>
      <c r="BO56" s="278"/>
      <c r="BP56" s="278"/>
      <c r="BQ56" s="278"/>
      <c r="BR56" s="278"/>
      <c r="BS56" s="278"/>
      <c r="BT56" s="278"/>
      <c r="BU56" s="278"/>
      <c r="BV56" s="279">
        <f t="shared" si="32"/>
        <v>168735</v>
      </c>
      <c r="BW56" s="280"/>
      <c r="BX56" s="280"/>
      <c r="BY56" s="280"/>
      <c r="BZ56" s="280"/>
      <c r="CA56" s="280"/>
      <c r="CB56" s="280"/>
      <c r="CC56" s="281"/>
      <c r="CD56" s="49"/>
    </row>
    <row r="57" spans="2:82" x14ac:dyDescent="0.35">
      <c r="B57" s="48"/>
      <c r="C57" s="157">
        <v>8</v>
      </c>
      <c r="D57" s="157"/>
      <c r="E57" s="157"/>
      <c r="F57" s="157"/>
      <c r="G57" s="278">
        <f t="shared" si="24"/>
        <v>46630</v>
      </c>
      <c r="H57" s="278"/>
      <c r="I57" s="278"/>
      <c r="J57" s="278"/>
      <c r="K57" s="278"/>
      <c r="L57" s="278">
        <f t="shared" si="27"/>
        <v>81603</v>
      </c>
      <c r="M57" s="278"/>
      <c r="N57" s="278"/>
      <c r="O57" s="278"/>
      <c r="P57" s="278"/>
      <c r="Q57" s="278"/>
      <c r="R57" s="278"/>
      <c r="S57" s="278"/>
      <c r="T57" s="279">
        <f t="shared" si="28"/>
        <v>163205</v>
      </c>
      <c r="U57" s="280"/>
      <c r="V57" s="280"/>
      <c r="W57" s="280"/>
      <c r="X57" s="280"/>
      <c r="Y57" s="280"/>
      <c r="Z57" s="280"/>
      <c r="AA57" s="281"/>
      <c r="AB57" s="49"/>
      <c r="AC57" s="48"/>
      <c r="AD57" s="157">
        <v>8</v>
      </c>
      <c r="AE57" s="157"/>
      <c r="AF57" s="157"/>
      <c r="AG57" s="157"/>
      <c r="AH57" s="278">
        <f t="shared" si="25"/>
        <v>58290</v>
      </c>
      <c r="AI57" s="278"/>
      <c r="AJ57" s="278"/>
      <c r="AK57" s="278"/>
      <c r="AL57" s="278"/>
      <c r="AM57" s="278">
        <f t="shared" si="29"/>
        <v>102008</v>
      </c>
      <c r="AN57" s="278"/>
      <c r="AO57" s="278"/>
      <c r="AP57" s="278"/>
      <c r="AQ57" s="278"/>
      <c r="AR57" s="278"/>
      <c r="AS57" s="278"/>
      <c r="AT57" s="278"/>
      <c r="AU57" s="279">
        <f t="shared" si="30"/>
        <v>204015</v>
      </c>
      <c r="AV57" s="280"/>
      <c r="AW57" s="280"/>
      <c r="AX57" s="280"/>
      <c r="AY57" s="280"/>
      <c r="AZ57" s="280"/>
      <c r="BA57" s="280"/>
      <c r="BB57" s="281"/>
      <c r="BC57" s="49"/>
      <c r="BD57" s="48"/>
      <c r="BE57" s="157">
        <v>8</v>
      </c>
      <c r="BF57" s="157"/>
      <c r="BG57" s="157"/>
      <c r="BH57" s="157"/>
      <c r="BI57" s="278">
        <f t="shared" si="26"/>
        <v>53640</v>
      </c>
      <c r="BJ57" s="278"/>
      <c r="BK57" s="278"/>
      <c r="BL57" s="278"/>
      <c r="BM57" s="278"/>
      <c r="BN57" s="278">
        <f t="shared" si="31"/>
        <v>93870</v>
      </c>
      <c r="BO57" s="278"/>
      <c r="BP57" s="278"/>
      <c r="BQ57" s="278"/>
      <c r="BR57" s="278"/>
      <c r="BS57" s="278"/>
      <c r="BT57" s="278"/>
      <c r="BU57" s="278"/>
      <c r="BV57" s="279">
        <f t="shared" si="32"/>
        <v>187740</v>
      </c>
      <c r="BW57" s="280"/>
      <c r="BX57" s="280"/>
      <c r="BY57" s="280"/>
      <c r="BZ57" s="280"/>
      <c r="CA57" s="280"/>
      <c r="CB57" s="280"/>
      <c r="CC57" s="281"/>
      <c r="CD57" s="49"/>
    </row>
    <row r="58" spans="2:82" x14ac:dyDescent="0.35">
      <c r="B58" s="48"/>
      <c r="C58" s="282">
        <f>C14</f>
        <v>6</v>
      </c>
      <c r="D58" s="157"/>
      <c r="E58" s="157"/>
      <c r="F58" s="157"/>
      <c r="G58" s="278">
        <f>G13+((C14-C13)*(G8-G7))</f>
        <v>37190</v>
      </c>
      <c r="H58" s="278"/>
      <c r="I58" s="278"/>
      <c r="J58" s="278"/>
      <c r="K58" s="278"/>
      <c r="L58" s="278">
        <f t="shared" si="27"/>
        <v>65083</v>
      </c>
      <c r="M58" s="278"/>
      <c r="N58" s="278"/>
      <c r="O58" s="278"/>
      <c r="P58" s="278"/>
      <c r="Q58" s="278"/>
      <c r="R58" s="278"/>
      <c r="S58" s="278"/>
      <c r="T58" s="279">
        <f t="shared" si="28"/>
        <v>130165</v>
      </c>
      <c r="U58" s="280"/>
      <c r="V58" s="280"/>
      <c r="W58" s="280"/>
      <c r="X58" s="280"/>
      <c r="Y58" s="280"/>
      <c r="Z58" s="280"/>
      <c r="AA58" s="281"/>
      <c r="AB58" s="49"/>
      <c r="AC58" s="48"/>
      <c r="AD58" s="282">
        <f>C14</f>
        <v>6</v>
      </c>
      <c r="AE58" s="157"/>
      <c r="AF58" s="157"/>
      <c r="AG58" s="157"/>
      <c r="AH58" s="278">
        <f>AH13+((AD14-AD13)*(AH8-AH7))</f>
        <v>46490</v>
      </c>
      <c r="AI58" s="278"/>
      <c r="AJ58" s="278"/>
      <c r="AK58" s="278"/>
      <c r="AL58" s="278"/>
      <c r="AM58" s="278">
        <f t="shared" si="29"/>
        <v>81358</v>
      </c>
      <c r="AN58" s="278"/>
      <c r="AO58" s="278"/>
      <c r="AP58" s="278"/>
      <c r="AQ58" s="278"/>
      <c r="AR58" s="278"/>
      <c r="AS58" s="278"/>
      <c r="AT58" s="278"/>
      <c r="AU58" s="279">
        <f t="shared" si="30"/>
        <v>162715</v>
      </c>
      <c r="AV58" s="280"/>
      <c r="AW58" s="280"/>
      <c r="AX58" s="280"/>
      <c r="AY58" s="280"/>
      <c r="AZ58" s="280"/>
      <c r="BA58" s="280"/>
      <c r="BB58" s="281"/>
      <c r="BC58" s="49"/>
      <c r="BD58" s="48"/>
      <c r="BE58" s="282">
        <f>C14</f>
        <v>6</v>
      </c>
      <c r="BF58" s="157"/>
      <c r="BG58" s="157"/>
      <c r="BH58" s="157"/>
      <c r="BI58" s="278">
        <f>BI13+((BE14-BE13)*(BI8-BI7))</f>
        <v>42780</v>
      </c>
      <c r="BJ58" s="278"/>
      <c r="BK58" s="278"/>
      <c r="BL58" s="278"/>
      <c r="BM58" s="278"/>
      <c r="BN58" s="278">
        <f t="shared" si="31"/>
        <v>74865</v>
      </c>
      <c r="BO58" s="278"/>
      <c r="BP58" s="278"/>
      <c r="BQ58" s="278"/>
      <c r="BR58" s="278"/>
      <c r="BS58" s="278"/>
      <c r="BT58" s="278"/>
      <c r="BU58" s="278"/>
      <c r="BV58" s="279">
        <f t="shared" si="32"/>
        <v>149730</v>
      </c>
      <c r="BW58" s="280"/>
      <c r="BX58" s="280"/>
      <c r="BY58" s="280"/>
      <c r="BZ58" s="280"/>
      <c r="CA58" s="280"/>
      <c r="CB58" s="280"/>
      <c r="CC58" s="281"/>
      <c r="CD58" s="49"/>
    </row>
    <row r="59" spans="2:82" x14ac:dyDescent="0.35">
      <c r="B59" s="48"/>
      <c r="C59" s="50" t="s">
        <v>177</v>
      </c>
      <c r="D59" s="234" t="s">
        <v>382</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49"/>
      <c r="AC59" s="48"/>
      <c r="AD59" s="50" t="s">
        <v>177</v>
      </c>
      <c r="AE59" s="234" t="s">
        <v>383</v>
      </c>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49"/>
      <c r="BD59" s="48"/>
      <c r="BE59" s="50" t="s">
        <v>177</v>
      </c>
      <c r="BF59" s="234" t="s">
        <v>386</v>
      </c>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49"/>
    </row>
    <row r="60" spans="2:82" x14ac:dyDescent="0.35">
      <c r="B60" s="48"/>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49"/>
      <c r="AC60" s="48"/>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49"/>
      <c r="BD60" s="48"/>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49"/>
    </row>
    <row r="61" spans="2:82" ht="7.25" customHeight="1" x14ac:dyDescent="0.35">
      <c r="B61" s="48"/>
      <c r="AB61" s="49"/>
      <c r="AC61" s="48"/>
      <c r="BC61" s="49"/>
      <c r="BD61" s="48"/>
      <c r="CD61" s="49"/>
    </row>
    <row r="62" spans="2:82" x14ac:dyDescent="0.35">
      <c r="B62" s="48"/>
      <c r="C62" s="283" t="s">
        <v>380</v>
      </c>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5"/>
      <c r="AB62" s="49"/>
      <c r="AC62" s="48"/>
      <c r="AD62" s="283" t="s">
        <v>380</v>
      </c>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5"/>
      <c r="BC62" s="49"/>
      <c r="BD62" s="48"/>
      <c r="BE62" s="283" t="s">
        <v>380</v>
      </c>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5"/>
      <c r="CD62" s="49"/>
    </row>
    <row r="63" spans="2:82" x14ac:dyDescent="0.35">
      <c r="B63" s="48"/>
      <c r="C63" s="286" t="s">
        <v>352</v>
      </c>
      <c r="D63" s="286"/>
      <c r="E63" s="286"/>
      <c r="F63" s="286"/>
      <c r="G63" s="287" t="s">
        <v>353</v>
      </c>
      <c r="H63" s="288"/>
      <c r="I63" s="288"/>
      <c r="J63" s="288"/>
      <c r="K63" s="289"/>
      <c r="L63" s="287" t="s">
        <v>372</v>
      </c>
      <c r="M63" s="288"/>
      <c r="N63" s="288"/>
      <c r="O63" s="288"/>
      <c r="P63" s="288"/>
      <c r="Q63" s="288"/>
      <c r="R63" s="288"/>
      <c r="S63" s="289"/>
      <c r="T63" s="287" t="s">
        <v>373</v>
      </c>
      <c r="U63" s="288"/>
      <c r="V63" s="288"/>
      <c r="W63" s="288"/>
      <c r="X63" s="288"/>
      <c r="Y63" s="288"/>
      <c r="Z63" s="288"/>
      <c r="AA63" s="289"/>
      <c r="AB63" s="49"/>
      <c r="AC63" s="48"/>
      <c r="AD63" s="286" t="s">
        <v>352</v>
      </c>
      <c r="AE63" s="286"/>
      <c r="AF63" s="286"/>
      <c r="AG63" s="286"/>
      <c r="AH63" s="287" t="s">
        <v>353</v>
      </c>
      <c r="AI63" s="288"/>
      <c r="AJ63" s="288"/>
      <c r="AK63" s="288"/>
      <c r="AL63" s="289"/>
      <c r="AM63" s="287" t="s">
        <v>372</v>
      </c>
      <c r="AN63" s="288"/>
      <c r="AO63" s="288"/>
      <c r="AP63" s="288"/>
      <c r="AQ63" s="288"/>
      <c r="AR63" s="288"/>
      <c r="AS63" s="288"/>
      <c r="AT63" s="289"/>
      <c r="AU63" s="287" t="s">
        <v>373</v>
      </c>
      <c r="AV63" s="288"/>
      <c r="AW63" s="288"/>
      <c r="AX63" s="288"/>
      <c r="AY63" s="288"/>
      <c r="AZ63" s="288"/>
      <c r="BA63" s="288"/>
      <c r="BB63" s="289"/>
      <c r="BC63" s="49"/>
      <c r="BD63" s="48"/>
      <c r="BE63" s="286" t="s">
        <v>352</v>
      </c>
      <c r="BF63" s="286"/>
      <c r="BG63" s="286"/>
      <c r="BH63" s="286"/>
      <c r="BI63" s="287" t="s">
        <v>353</v>
      </c>
      <c r="BJ63" s="288"/>
      <c r="BK63" s="288"/>
      <c r="BL63" s="288"/>
      <c r="BM63" s="289"/>
      <c r="BN63" s="287" t="s">
        <v>372</v>
      </c>
      <c r="BO63" s="288"/>
      <c r="BP63" s="288"/>
      <c r="BQ63" s="288"/>
      <c r="BR63" s="288"/>
      <c r="BS63" s="288"/>
      <c r="BT63" s="288"/>
      <c r="BU63" s="289"/>
      <c r="BV63" s="287" t="s">
        <v>373</v>
      </c>
      <c r="BW63" s="288"/>
      <c r="BX63" s="288"/>
      <c r="BY63" s="288"/>
      <c r="BZ63" s="288"/>
      <c r="CA63" s="288"/>
      <c r="CB63" s="288"/>
      <c r="CC63" s="289"/>
      <c r="CD63" s="49"/>
    </row>
    <row r="64" spans="2:82" x14ac:dyDescent="0.35">
      <c r="B64" s="48"/>
      <c r="C64" s="286"/>
      <c r="D64" s="286"/>
      <c r="E64" s="286"/>
      <c r="F64" s="286"/>
      <c r="G64" s="290"/>
      <c r="H64" s="291"/>
      <c r="I64" s="291"/>
      <c r="J64" s="291"/>
      <c r="K64" s="292"/>
      <c r="L64" s="290"/>
      <c r="M64" s="291"/>
      <c r="N64" s="291"/>
      <c r="O64" s="291"/>
      <c r="P64" s="291"/>
      <c r="Q64" s="291"/>
      <c r="R64" s="291"/>
      <c r="S64" s="292"/>
      <c r="T64" s="290"/>
      <c r="U64" s="291"/>
      <c r="V64" s="291"/>
      <c r="W64" s="291"/>
      <c r="X64" s="291"/>
      <c r="Y64" s="291"/>
      <c r="Z64" s="291"/>
      <c r="AA64" s="292"/>
      <c r="AB64" s="49"/>
      <c r="AC64" s="48"/>
      <c r="AD64" s="286"/>
      <c r="AE64" s="286"/>
      <c r="AF64" s="286"/>
      <c r="AG64" s="286"/>
      <c r="AH64" s="290"/>
      <c r="AI64" s="291"/>
      <c r="AJ64" s="291"/>
      <c r="AK64" s="291"/>
      <c r="AL64" s="292"/>
      <c r="AM64" s="290"/>
      <c r="AN64" s="291"/>
      <c r="AO64" s="291"/>
      <c r="AP64" s="291"/>
      <c r="AQ64" s="291"/>
      <c r="AR64" s="291"/>
      <c r="AS64" s="291"/>
      <c r="AT64" s="292"/>
      <c r="AU64" s="290"/>
      <c r="AV64" s="291"/>
      <c r="AW64" s="291"/>
      <c r="AX64" s="291"/>
      <c r="AY64" s="291"/>
      <c r="AZ64" s="291"/>
      <c r="BA64" s="291"/>
      <c r="BB64" s="292"/>
      <c r="BC64" s="49"/>
      <c r="BD64" s="48"/>
      <c r="BE64" s="286"/>
      <c r="BF64" s="286"/>
      <c r="BG64" s="286"/>
      <c r="BH64" s="286"/>
      <c r="BI64" s="290"/>
      <c r="BJ64" s="291"/>
      <c r="BK64" s="291"/>
      <c r="BL64" s="291"/>
      <c r="BM64" s="292"/>
      <c r="BN64" s="290"/>
      <c r="BO64" s="291"/>
      <c r="BP64" s="291"/>
      <c r="BQ64" s="291"/>
      <c r="BR64" s="291"/>
      <c r="BS64" s="291"/>
      <c r="BT64" s="291"/>
      <c r="BU64" s="292"/>
      <c r="BV64" s="290"/>
      <c r="BW64" s="291"/>
      <c r="BX64" s="291"/>
      <c r="BY64" s="291"/>
      <c r="BZ64" s="291"/>
      <c r="CA64" s="291"/>
      <c r="CB64" s="291"/>
      <c r="CC64" s="292"/>
      <c r="CD64" s="49"/>
    </row>
    <row r="65" spans="2:82" x14ac:dyDescent="0.35">
      <c r="B65" s="48"/>
      <c r="C65" s="157">
        <v>1</v>
      </c>
      <c r="D65" s="157"/>
      <c r="E65" s="157"/>
      <c r="F65" s="157"/>
      <c r="G65" s="278">
        <f>G7-(G8-G7)</f>
        <v>13590</v>
      </c>
      <c r="H65" s="278"/>
      <c r="I65" s="278"/>
      <c r="J65" s="278"/>
      <c r="K65" s="278"/>
      <c r="L65" s="278">
        <f>ROUND(G65*1.75,0)</f>
        <v>23783</v>
      </c>
      <c r="M65" s="278"/>
      <c r="N65" s="278"/>
      <c r="O65" s="278"/>
      <c r="P65" s="278"/>
      <c r="Q65" s="278"/>
      <c r="R65" s="278"/>
      <c r="S65" s="278"/>
      <c r="T65" s="279">
        <f>ROUND(G65*2.75,0)</f>
        <v>37373</v>
      </c>
      <c r="U65" s="280"/>
      <c r="V65" s="280"/>
      <c r="W65" s="280"/>
      <c r="X65" s="280"/>
      <c r="Y65" s="280"/>
      <c r="Z65" s="280"/>
      <c r="AA65" s="281"/>
      <c r="AB65" s="49"/>
      <c r="AC65" s="48"/>
      <c r="AD65" s="157">
        <v>1</v>
      </c>
      <c r="AE65" s="157"/>
      <c r="AF65" s="157"/>
      <c r="AG65" s="157"/>
      <c r="AH65" s="278">
        <f>AH7-(AH8-AH7)</f>
        <v>16990</v>
      </c>
      <c r="AI65" s="278"/>
      <c r="AJ65" s="278"/>
      <c r="AK65" s="278"/>
      <c r="AL65" s="278"/>
      <c r="AM65" s="278">
        <f>ROUND(AH65*1.75,0)</f>
        <v>29733</v>
      </c>
      <c r="AN65" s="278"/>
      <c r="AO65" s="278"/>
      <c r="AP65" s="278"/>
      <c r="AQ65" s="278"/>
      <c r="AR65" s="278"/>
      <c r="AS65" s="278"/>
      <c r="AT65" s="278"/>
      <c r="AU65" s="279">
        <f>ROUND(AH65*2.75,0)</f>
        <v>46723</v>
      </c>
      <c r="AV65" s="280"/>
      <c r="AW65" s="280"/>
      <c r="AX65" s="280"/>
      <c r="AY65" s="280"/>
      <c r="AZ65" s="280"/>
      <c r="BA65" s="280"/>
      <c r="BB65" s="281"/>
      <c r="BC65" s="49"/>
      <c r="BD65" s="48"/>
      <c r="BE65" s="157">
        <v>1</v>
      </c>
      <c r="BF65" s="157"/>
      <c r="BG65" s="157"/>
      <c r="BH65" s="157"/>
      <c r="BI65" s="278">
        <f>BI7-(BI8-BI7)</f>
        <v>15630</v>
      </c>
      <c r="BJ65" s="278"/>
      <c r="BK65" s="278"/>
      <c r="BL65" s="278"/>
      <c r="BM65" s="278"/>
      <c r="BN65" s="278">
        <f>ROUND(BI65*1.75,0)</f>
        <v>27353</v>
      </c>
      <c r="BO65" s="278"/>
      <c r="BP65" s="278"/>
      <c r="BQ65" s="278"/>
      <c r="BR65" s="278"/>
      <c r="BS65" s="278"/>
      <c r="BT65" s="278"/>
      <c r="BU65" s="278"/>
      <c r="BV65" s="279">
        <f>ROUND(BI65*2.75,0)</f>
        <v>42983</v>
      </c>
      <c r="BW65" s="280"/>
      <c r="BX65" s="280"/>
      <c r="BY65" s="280"/>
      <c r="BZ65" s="280"/>
      <c r="CA65" s="280"/>
      <c r="CB65" s="280"/>
      <c r="CC65" s="281"/>
      <c r="CD65" s="49"/>
    </row>
    <row r="66" spans="2:82" x14ac:dyDescent="0.35">
      <c r="B66" s="48"/>
      <c r="C66" s="157">
        <v>2</v>
      </c>
      <c r="D66" s="157"/>
      <c r="E66" s="157"/>
      <c r="F66" s="157"/>
      <c r="G66" s="278">
        <f t="shared" ref="G66:G72" si="33">G7</f>
        <v>18310</v>
      </c>
      <c r="H66" s="278"/>
      <c r="I66" s="278"/>
      <c r="J66" s="278"/>
      <c r="K66" s="278"/>
      <c r="L66" s="278">
        <f>ROUND(G66*1.75,0)</f>
        <v>32043</v>
      </c>
      <c r="M66" s="278"/>
      <c r="N66" s="278"/>
      <c r="O66" s="278"/>
      <c r="P66" s="278"/>
      <c r="Q66" s="278"/>
      <c r="R66" s="278"/>
      <c r="S66" s="278"/>
      <c r="T66" s="279">
        <f>ROUND(G66*2.75,0)</f>
        <v>50353</v>
      </c>
      <c r="U66" s="280"/>
      <c r="V66" s="280"/>
      <c r="W66" s="280"/>
      <c r="X66" s="280"/>
      <c r="Y66" s="280"/>
      <c r="Z66" s="280"/>
      <c r="AA66" s="281"/>
      <c r="AB66" s="49"/>
      <c r="AC66" s="48"/>
      <c r="AD66" s="157">
        <v>2</v>
      </c>
      <c r="AE66" s="157"/>
      <c r="AF66" s="157"/>
      <c r="AG66" s="157"/>
      <c r="AH66" s="278">
        <f t="shared" ref="AH66:AH72" si="34">AH7</f>
        <v>22890</v>
      </c>
      <c r="AI66" s="278"/>
      <c r="AJ66" s="278"/>
      <c r="AK66" s="278"/>
      <c r="AL66" s="278"/>
      <c r="AM66" s="278">
        <f>ROUND(AH66*1.75,0)</f>
        <v>40058</v>
      </c>
      <c r="AN66" s="278"/>
      <c r="AO66" s="278"/>
      <c r="AP66" s="278"/>
      <c r="AQ66" s="278"/>
      <c r="AR66" s="278"/>
      <c r="AS66" s="278"/>
      <c r="AT66" s="278"/>
      <c r="AU66" s="279">
        <f>ROUND(AH66*2.75,0)</f>
        <v>62948</v>
      </c>
      <c r="AV66" s="280"/>
      <c r="AW66" s="280"/>
      <c r="AX66" s="280"/>
      <c r="AY66" s="280"/>
      <c r="AZ66" s="280"/>
      <c r="BA66" s="280"/>
      <c r="BB66" s="281"/>
      <c r="BC66" s="49"/>
      <c r="BD66" s="48"/>
      <c r="BE66" s="157">
        <v>2</v>
      </c>
      <c r="BF66" s="157"/>
      <c r="BG66" s="157"/>
      <c r="BH66" s="157"/>
      <c r="BI66" s="278">
        <f t="shared" ref="BI66:BI72" si="35">BI7</f>
        <v>21060</v>
      </c>
      <c r="BJ66" s="278"/>
      <c r="BK66" s="278"/>
      <c r="BL66" s="278"/>
      <c r="BM66" s="278"/>
      <c r="BN66" s="278">
        <f>ROUND(BI66*1.75,0)</f>
        <v>36855</v>
      </c>
      <c r="BO66" s="278"/>
      <c r="BP66" s="278"/>
      <c r="BQ66" s="278"/>
      <c r="BR66" s="278"/>
      <c r="BS66" s="278"/>
      <c r="BT66" s="278"/>
      <c r="BU66" s="278"/>
      <c r="BV66" s="279">
        <f>ROUND(BI66*2.75,0)</f>
        <v>57915</v>
      </c>
      <c r="BW66" s="280"/>
      <c r="BX66" s="280"/>
      <c r="BY66" s="280"/>
      <c r="BZ66" s="280"/>
      <c r="CA66" s="280"/>
      <c r="CB66" s="280"/>
      <c r="CC66" s="281"/>
      <c r="CD66" s="49"/>
    </row>
    <row r="67" spans="2:82" x14ac:dyDescent="0.35">
      <c r="B67" s="48"/>
      <c r="C67" s="157">
        <v>3</v>
      </c>
      <c r="D67" s="157"/>
      <c r="E67" s="157"/>
      <c r="F67" s="157"/>
      <c r="G67" s="278">
        <f t="shared" si="33"/>
        <v>23030</v>
      </c>
      <c r="H67" s="278"/>
      <c r="I67" s="278"/>
      <c r="J67" s="278"/>
      <c r="K67" s="278"/>
      <c r="L67" s="278">
        <f t="shared" ref="L67:L73" si="36">ROUND(G67*1.75,0)</f>
        <v>40303</v>
      </c>
      <c r="M67" s="278"/>
      <c r="N67" s="278"/>
      <c r="O67" s="278"/>
      <c r="P67" s="278"/>
      <c r="Q67" s="278"/>
      <c r="R67" s="278"/>
      <c r="S67" s="278"/>
      <c r="T67" s="279">
        <f t="shared" ref="T67:T73" si="37">ROUND(G67*2.75,0)</f>
        <v>63333</v>
      </c>
      <c r="U67" s="280"/>
      <c r="V67" s="280"/>
      <c r="W67" s="280"/>
      <c r="X67" s="280"/>
      <c r="Y67" s="280"/>
      <c r="Z67" s="280"/>
      <c r="AA67" s="281"/>
      <c r="AB67" s="49"/>
      <c r="AC67" s="48"/>
      <c r="AD67" s="157">
        <v>3</v>
      </c>
      <c r="AE67" s="157"/>
      <c r="AF67" s="157"/>
      <c r="AG67" s="157"/>
      <c r="AH67" s="278">
        <f t="shared" si="34"/>
        <v>28790</v>
      </c>
      <c r="AI67" s="278"/>
      <c r="AJ67" s="278"/>
      <c r="AK67" s="278"/>
      <c r="AL67" s="278"/>
      <c r="AM67" s="278">
        <f t="shared" ref="AM67:AM73" si="38">ROUND(AH67*1.75,0)</f>
        <v>50383</v>
      </c>
      <c r="AN67" s="278"/>
      <c r="AO67" s="278"/>
      <c r="AP67" s="278"/>
      <c r="AQ67" s="278"/>
      <c r="AR67" s="278"/>
      <c r="AS67" s="278"/>
      <c r="AT67" s="278"/>
      <c r="AU67" s="279">
        <f t="shared" ref="AU67:AU73" si="39">ROUND(AH67*2.75,0)</f>
        <v>79173</v>
      </c>
      <c r="AV67" s="280"/>
      <c r="AW67" s="280"/>
      <c r="AX67" s="280"/>
      <c r="AY67" s="280"/>
      <c r="AZ67" s="280"/>
      <c r="BA67" s="280"/>
      <c r="BB67" s="281"/>
      <c r="BC67" s="49"/>
      <c r="BD67" s="48"/>
      <c r="BE67" s="157">
        <v>3</v>
      </c>
      <c r="BF67" s="157"/>
      <c r="BG67" s="157"/>
      <c r="BH67" s="157"/>
      <c r="BI67" s="278">
        <f t="shared" si="35"/>
        <v>26490</v>
      </c>
      <c r="BJ67" s="278"/>
      <c r="BK67" s="278"/>
      <c r="BL67" s="278"/>
      <c r="BM67" s="278"/>
      <c r="BN67" s="278">
        <f t="shared" ref="BN67:BN73" si="40">ROUND(BI67*1.75,0)</f>
        <v>46358</v>
      </c>
      <c r="BO67" s="278"/>
      <c r="BP67" s="278"/>
      <c r="BQ67" s="278"/>
      <c r="BR67" s="278"/>
      <c r="BS67" s="278"/>
      <c r="BT67" s="278"/>
      <c r="BU67" s="278"/>
      <c r="BV67" s="279">
        <f t="shared" ref="BV67:BV73" si="41">ROUND(BI67*2.75,0)</f>
        <v>72848</v>
      </c>
      <c r="BW67" s="280"/>
      <c r="BX67" s="280"/>
      <c r="BY67" s="280"/>
      <c r="BZ67" s="280"/>
      <c r="CA67" s="280"/>
      <c r="CB67" s="280"/>
      <c r="CC67" s="281"/>
      <c r="CD67" s="49"/>
    </row>
    <row r="68" spans="2:82" x14ac:dyDescent="0.35">
      <c r="B68" s="48"/>
      <c r="C68" s="157">
        <v>4</v>
      </c>
      <c r="D68" s="157"/>
      <c r="E68" s="157"/>
      <c r="F68" s="157"/>
      <c r="G68" s="278">
        <f t="shared" si="33"/>
        <v>27750</v>
      </c>
      <c r="H68" s="278"/>
      <c r="I68" s="278"/>
      <c r="J68" s="278"/>
      <c r="K68" s="278"/>
      <c r="L68" s="278">
        <f t="shared" si="36"/>
        <v>48563</v>
      </c>
      <c r="M68" s="278"/>
      <c r="N68" s="278"/>
      <c r="O68" s="278"/>
      <c r="P68" s="278"/>
      <c r="Q68" s="278"/>
      <c r="R68" s="278"/>
      <c r="S68" s="278"/>
      <c r="T68" s="279">
        <f t="shared" si="37"/>
        <v>76313</v>
      </c>
      <c r="U68" s="280"/>
      <c r="V68" s="280"/>
      <c r="W68" s="280"/>
      <c r="X68" s="280"/>
      <c r="Y68" s="280"/>
      <c r="Z68" s="280"/>
      <c r="AA68" s="281"/>
      <c r="AB68" s="49"/>
      <c r="AC68" s="48"/>
      <c r="AD68" s="157">
        <v>4</v>
      </c>
      <c r="AE68" s="157"/>
      <c r="AF68" s="157"/>
      <c r="AG68" s="157"/>
      <c r="AH68" s="278">
        <f t="shared" si="34"/>
        <v>34690</v>
      </c>
      <c r="AI68" s="278"/>
      <c r="AJ68" s="278"/>
      <c r="AK68" s="278"/>
      <c r="AL68" s="278"/>
      <c r="AM68" s="278">
        <f t="shared" si="38"/>
        <v>60708</v>
      </c>
      <c r="AN68" s="278"/>
      <c r="AO68" s="278"/>
      <c r="AP68" s="278"/>
      <c r="AQ68" s="278"/>
      <c r="AR68" s="278"/>
      <c r="AS68" s="278"/>
      <c r="AT68" s="278"/>
      <c r="AU68" s="279">
        <f t="shared" si="39"/>
        <v>95398</v>
      </c>
      <c r="AV68" s="280"/>
      <c r="AW68" s="280"/>
      <c r="AX68" s="280"/>
      <c r="AY68" s="280"/>
      <c r="AZ68" s="280"/>
      <c r="BA68" s="280"/>
      <c r="BB68" s="281"/>
      <c r="BC68" s="49"/>
      <c r="BD68" s="48"/>
      <c r="BE68" s="157">
        <v>4</v>
      </c>
      <c r="BF68" s="157"/>
      <c r="BG68" s="157"/>
      <c r="BH68" s="157"/>
      <c r="BI68" s="278">
        <f t="shared" si="35"/>
        <v>31920</v>
      </c>
      <c r="BJ68" s="278"/>
      <c r="BK68" s="278"/>
      <c r="BL68" s="278"/>
      <c r="BM68" s="278"/>
      <c r="BN68" s="278">
        <f t="shared" si="40"/>
        <v>55860</v>
      </c>
      <c r="BO68" s="278"/>
      <c r="BP68" s="278"/>
      <c r="BQ68" s="278"/>
      <c r="BR68" s="278"/>
      <c r="BS68" s="278"/>
      <c r="BT68" s="278"/>
      <c r="BU68" s="278"/>
      <c r="BV68" s="279">
        <f t="shared" si="41"/>
        <v>87780</v>
      </c>
      <c r="BW68" s="280"/>
      <c r="BX68" s="280"/>
      <c r="BY68" s="280"/>
      <c r="BZ68" s="280"/>
      <c r="CA68" s="280"/>
      <c r="CB68" s="280"/>
      <c r="CC68" s="281"/>
      <c r="CD68" s="49"/>
    </row>
    <row r="69" spans="2:82" x14ac:dyDescent="0.35">
      <c r="B69" s="48"/>
      <c r="C69" s="157">
        <v>5</v>
      </c>
      <c r="D69" s="157"/>
      <c r="E69" s="157"/>
      <c r="F69" s="157"/>
      <c r="G69" s="278">
        <f t="shared" si="33"/>
        <v>32470</v>
      </c>
      <c r="H69" s="278"/>
      <c r="I69" s="278"/>
      <c r="J69" s="278"/>
      <c r="K69" s="278"/>
      <c r="L69" s="278">
        <f t="shared" si="36"/>
        <v>56823</v>
      </c>
      <c r="M69" s="278"/>
      <c r="N69" s="278"/>
      <c r="O69" s="278"/>
      <c r="P69" s="278"/>
      <c r="Q69" s="278"/>
      <c r="R69" s="278"/>
      <c r="S69" s="278"/>
      <c r="T69" s="279">
        <f t="shared" si="37"/>
        <v>89293</v>
      </c>
      <c r="U69" s="280"/>
      <c r="V69" s="280"/>
      <c r="W69" s="280"/>
      <c r="X69" s="280"/>
      <c r="Y69" s="280"/>
      <c r="Z69" s="280"/>
      <c r="AA69" s="281"/>
      <c r="AB69" s="49"/>
      <c r="AC69" s="48"/>
      <c r="AD69" s="157">
        <v>5</v>
      </c>
      <c r="AE69" s="157"/>
      <c r="AF69" s="157"/>
      <c r="AG69" s="157"/>
      <c r="AH69" s="278">
        <f t="shared" si="34"/>
        <v>40590</v>
      </c>
      <c r="AI69" s="278"/>
      <c r="AJ69" s="278"/>
      <c r="AK69" s="278"/>
      <c r="AL69" s="278"/>
      <c r="AM69" s="278">
        <f t="shared" si="38"/>
        <v>71033</v>
      </c>
      <c r="AN69" s="278"/>
      <c r="AO69" s="278"/>
      <c r="AP69" s="278"/>
      <c r="AQ69" s="278"/>
      <c r="AR69" s="278"/>
      <c r="AS69" s="278"/>
      <c r="AT69" s="278"/>
      <c r="AU69" s="279">
        <f t="shared" si="39"/>
        <v>111623</v>
      </c>
      <c r="AV69" s="280"/>
      <c r="AW69" s="280"/>
      <c r="AX69" s="280"/>
      <c r="AY69" s="280"/>
      <c r="AZ69" s="280"/>
      <c r="BA69" s="280"/>
      <c r="BB69" s="281"/>
      <c r="BC69" s="49"/>
      <c r="BD69" s="48"/>
      <c r="BE69" s="157">
        <v>5</v>
      </c>
      <c r="BF69" s="157"/>
      <c r="BG69" s="157"/>
      <c r="BH69" s="157"/>
      <c r="BI69" s="278">
        <f t="shared" si="35"/>
        <v>37350</v>
      </c>
      <c r="BJ69" s="278"/>
      <c r="BK69" s="278"/>
      <c r="BL69" s="278"/>
      <c r="BM69" s="278"/>
      <c r="BN69" s="278">
        <f t="shared" si="40"/>
        <v>65363</v>
      </c>
      <c r="BO69" s="278"/>
      <c r="BP69" s="278"/>
      <c r="BQ69" s="278"/>
      <c r="BR69" s="278"/>
      <c r="BS69" s="278"/>
      <c r="BT69" s="278"/>
      <c r="BU69" s="278"/>
      <c r="BV69" s="279">
        <f t="shared" si="41"/>
        <v>102713</v>
      </c>
      <c r="BW69" s="280"/>
      <c r="BX69" s="280"/>
      <c r="BY69" s="280"/>
      <c r="BZ69" s="280"/>
      <c r="CA69" s="280"/>
      <c r="CB69" s="280"/>
      <c r="CC69" s="281"/>
      <c r="CD69" s="49"/>
    </row>
    <row r="70" spans="2:82" x14ac:dyDescent="0.35">
      <c r="B70" s="48"/>
      <c r="C70" s="157">
        <v>6</v>
      </c>
      <c r="D70" s="157"/>
      <c r="E70" s="157"/>
      <c r="F70" s="157"/>
      <c r="G70" s="278">
        <f t="shared" si="33"/>
        <v>37190</v>
      </c>
      <c r="H70" s="278"/>
      <c r="I70" s="278"/>
      <c r="J70" s="278"/>
      <c r="K70" s="278"/>
      <c r="L70" s="278">
        <f t="shared" si="36"/>
        <v>65083</v>
      </c>
      <c r="M70" s="278"/>
      <c r="N70" s="278"/>
      <c r="O70" s="278"/>
      <c r="P70" s="278"/>
      <c r="Q70" s="278"/>
      <c r="R70" s="278"/>
      <c r="S70" s="278"/>
      <c r="T70" s="279">
        <f t="shared" si="37"/>
        <v>102273</v>
      </c>
      <c r="U70" s="280"/>
      <c r="V70" s="280"/>
      <c r="W70" s="280"/>
      <c r="X70" s="280"/>
      <c r="Y70" s="280"/>
      <c r="Z70" s="280"/>
      <c r="AA70" s="281"/>
      <c r="AB70" s="49"/>
      <c r="AC70" s="48"/>
      <c r="AD70" s="157">
        <v>6</v>
      </c>
      <c r="AE70" s="157"/>
      <c r="AF70" s="157"/>
      <c r="AG70" s="157"/>
      <c r="AH70" s="278">
        <f t="shared" si="34"/>
        <v>46490</v>
      </c>
      <c r="AI70" s="278"/>
      <c r="AJ70" s="278"/>
      <c r="AK70" s="278"/>
      <c r="AL70" s="278"/>
      <c r="AM70" s="278">
        <f t="shared" si="38"/>
        <v>81358</v>
      </c>
      <c r="AN70" s="278"/>
      <c r="AO70" s="278"/>
      <c r="AP70" s="278"/>
      <c r="AQ70" s="278"/>
      <c r="AR70" s="278"/>
      <c r="AS70" s="278"/>
      <c r="AT70" s="278"/>
      <c r="AU70" s="279">
        <f t="shared" si="39"/>
        <v>127848</v>
      </c>
      <c r="AV70" s="280"/>
      <c r="AW70" s="280"/>
      <c r="AX70" s="280"/>
      <c r="AY70" s="280"/>
      <c r="AZ70" s="280"/>
      <c r="BA70" s="280"/>
      <c r="BB70" s="281"/>
      <c r="BC70" s="49"/>
      <c r="BD70" s="48"/>
      <c r="BE70" s="157">
        <v>6</v>
      </c>
      <c r="BF70" s="157"/>
      <c r="BG70" s="157"/>
      <c r="BH70" s="157"/>
      <c r="BI70" s="278">
        <f t="shared" si="35"/>
        <v>42780</v>
      </c>
      <c r="BJ70" s="278"/>
      <c r="BK70" s="278"/>
      <c r="BL70" s="278"/>
      <c r="BM70" s="278"/>
      <c r="BN70" s="278">
        <f t="shared" si="40"/>
        <v>74865</v>
      </c>
      <c r="BO70" s="278"/>
      <c r="BP70" s="278"/>
      <c r="BQ70" s="278"/>
      <c r="BR70" s="278"/>
      <c r="BS70" s="278"/>
      <c r="BT70" s="278"/>
      <c r="BU70" s="278"/>
      <c r="BV70" s="279">
        <f t="shared" si="41"/>
        <v>117645</v>
      </c>
      <c r="BW70" s="280"/>
      <c r="BX70" s="280"/>
      <c r="BY70" s="280"/>
      <c r="BZ70" s="280"/>
      <c r="CA70" s="280"/>
      <c r="CB70" s="280"/>
      <c r="CC70" s="281"/>
      <c r="CD70" s="49"/>
    </row>
    <row r="71" spans="2:82" x14ac:dyDescent="0.35">
      <c r="B71" s="48"/>
      <c r="C71" s="157">
        <v>7</v>
      </c>
      <c r="D71" s="157"/>
      <c r="E71" s="157"/>
      <c r="F71" s="157"/>
      <c r="G71" s="278">
        <f t="shared" si="33"/>
        <v>41910</v>
      </c>
      <c r="H71" s="278"/>
      <c r="I71" s="278"/>
      <c r="J71" s="278"/>
      <c r="K71" s="278"/>
      <c r="L71" s="278">
        <f t="shared" si="36"/>
        <v>73343</v>
      </c>
      <c r="M71" s="278"/>
      <c r="N71" s="278"/>
      <c r="O71" s="278"/>
      <c r="P71" s="278"/>
      <c r="Q71" s="278"/>
      <c r="R71" s="278"/>
      <c r="S71" s="278"/>
      <c r="T71" s="279">
        <f t="shared" si="37"/>
        <v>115253</v>
      </c>
      <c r="U71" s="280"/>
      <c r="V71" s="280"/>
      <c r="W71" s="280"/>
      <c r="X71" s="280"/>
      <c r="Y71" s="280"/>
      <c r="Z71" s="280"/>
      <c r="AA71" s="281"/>
      <c r="AB71" s="49"/>
      <c r="AC71" s="48"/>
      <c r="AD71" s="157">
        <v>7</v>
      </c>
      <c r="AE71" s="157"/>
      <c r="AF71" s="157"/>
      <c r="AG71" s="157"/>
      <c r="AH71" s="278">
        <f t="shared" si="34"/>
        <v>52390</v>
      </c>
      <c r="AI71" s="278"/>
      <c r="AJ71" s="278"/>
      <c r="AK71" s="278"/>
      <c r="AL71" s="278"/>
      <c r="AM71" s="278">
        <f t="shared" si="38"/>
        <v>91683</v>
      </c>
      <c r="AN71" s="278"/>
      <c r="AO71" s="278"/>
      <c r="AP71" s="278"/>
      <c r="AQ71" s="278"/>
      <c r="AR71" s="278"/>
      <c r="AS71" s="278"/>
      <c r="AT71" s="278"/>
      <c r="AU71" s="279">
        <f t="shared" si="39"/>
        <v>144073</v>
      </c>
      <c r="AV71" s="280"/>
      <c r="AW71" s="280"/>
      <c r="AX71" s="280"/>
      <c r="AY71" s="280"/>
      <c r="AZ71" s="280"/>
      <c r="BA71" s="280"/>
      <c r="BB71" s="281"/>
      <c r="BC71" s="49"/>
      <c r="BD71" s="48"/>
      <c r="BE71" s="157">
        <v>7</v>
      </c>
      <c r="BF71" s="157"/>
      <c r="BG71" s="157"/>
      <c r="BH71" s="157"/>
      <c r="BI71" s="278">
        <f t="shared" si="35"/>
        <v>48210</v>
      </c>
      <c r="BJ71" s="278"/>
      <c r="BK71" s="278"/>
      <c r="BL71" s="278"/>
      <c r="BM71" s="278"/>
      <c r="BN71" s="278">
        <f t="shared" si="40"/>
        <v>84368</v>
      </c>
      <c r="BO71" s="278"/>
      <c r="BP71" s="278"/>
      <c r="BQ71" s="278"/>
      <c r="BR71" s="278"/>
      <c r="BS71" s="278"/>
      <c r="BT71" s="278"/>
      <c r="BU71" s="278"/>
      <c r="BV71" s="279">
        <f t="shared" si="41"/>
        <v>132578</v>
      </c>
      <c r="BW71" s="280"/>
      <c r="BX71" s="280"/>
      <c r="BY71" s="280"/>
      <c r="BZ71" s="280"/>
      <c r="CA71" s="280"/>
      <c r="CB71" s="280"/>
      <c r="CC71" s="281"/>
      <c r="CD71" s="49"/>
    </row>
    <row r="72" spans="2:82" x14ac:dyDescent="0.35">
      <c r="B72" s="48"/>
      <c r="C72" s="157">
        <v>8</v>
      </c>
      <c r="D72" s="157"/>
      <c r="E72" s="157"/>
      <c r="F72" s="157"/>
      <c r="G72" s="278">
        <f t="shared" si="33"/>
        <v>46630</v>
      </c>
      <c r="H72" s="278"/>
      <c r="I72" s="278"/>
      <c r="J72" s="278"/>
      <c r="K72" s="278"/>
      <c r="L72" s="278">
        <f t="shared" si="36"/>
        <v>81603</v>
      </c>
      <c r="M72" s="278"/>
      <c r="N72" s="278"/>
      <c r="O72" s="278"/>
      <c r="P72" s="278"/>
      <c r="Q72" s="278"/>
      <c r="R72" s="278"/>
      <c r="S72" s="278"/>
      <c r="T72" s="279">
        <f t="shared" si="37"/>
        <v>128233</v>
      </c>
      <c r="U72" s="280"/>
      <c r="V72" s="280"/>
      <c r="W72" s="280"/>
      <c r="X72" s="280"/>
      <c r="Y72" s="280"/>
      <c r="Z72" s="280"/>
      <c r="AA72" s="281"/>
      <c r="AB72" s="49"/>
      <c r="AC72" s="48"/>
      <c r="AD72" s="157">
        <v>8</v>
      </c>
      <c r="AE72" s="157"/>
      <c r="AF72" s="157"/>
      <c r="AG72" s="157"/>
      <c r="AH72" s="278">
        <f t="shared" si="34"/>
        <v>58290</v>
      </c>
      <c r="AI72" s="278"/>
      <c r="AJ72" s="278"/>
      <c r="AK72" s="278"/>
      <c r="AL72" s="278"/>
      <c r="AM72" s="278">
        <f t="shared" si="38"/>
        <v>102008</v>
      </c>
      <c r="AN72" s="278"/>
      <c r="AO72" s="278"/>
      <c r="AP72" s="278"/>
      <c r="AQ72" s="278"/>
      <c r="AR72" s="278"/>
      <c r="AS72" s="278"/>
      <c r="AT72" s="278"/>
      <c r="AU72" s="279">
        <f t="shared" si="39"/>
        <v>160298</v>
      </c>
      <c r="AV72" s="280"/>
      <c r="AW72" s="280"/>
      <c r="AX72" s="280"/>
      <c r="AY72" s="280"/>
      <c r="AZ72" s="280"/>
      <c r="BA72" s="280"/>
      <c r="BB72" s="281"/>
      <c r="BC72" s="49"/>
      <c r="BD72" s="48"/>
      <c r="BE72" s="157">
        <v>8</v>
      </c>
      <c r="BF72" s="157"/>
      <c r="BG72" s="157"/>
      <c r="BH72" s="157"/>
      <c r="BI72" s="278">
        <f t="shared" si="35"/>
        <v>53640</v>
      </c>
      <c r="BJ72" s="278"/>
      <c r="BK72" s="278"/>
      <c r="BL72" s="278"/>
      <c r="BM72" s="278"/>
      <c r="BN72" s="278">
        <f t="shared" si="40"/>
        <v>93870</v>
      </c>
      <c r="BO72" s="278"/>
      <c r="BP72" s="278"/>
      <c r="BQ72" s="278"/>
      <c r="BR72" s="278"/>
      <c r="BS72" s="278"/>
      <c r="BT72" s="278"/>
      <c r="BU72" s="278"/>
      <c r="BV72" s="279">
        <f t="shared" si="41"/>
        <v>147510</v>
      </c>
      <c r="BW72" s="280"/>
      <c r="BX72" s="280"/>
      <c r="BY72" s="280"/>
      <c r="BZ72" s="280"/>
      <c r="CA72" s="280"/>
      <c r="CB72" s="280"/>
      <c r="CC72" s="281"/>
      <c r="CD72" s="49"/>
    </row>
    <row r="73" spans="2:82" x14ac:dyDescent="0.35">
      <c r="B73" s="48"/>
      <c r="C73" s="282">
        <f>C14</f>
        <v>6</v>
      </c>
      <c r="D73" s="157"/>
      <c r="E73" s="157"/>
      <c r="F73" s="157"/>
      <c r="G73" s="278">
        <f>G13+((C14-C13)*(G8-G7))</f>
        <v>37190</v>
      </c>
      <c r="H73" s="278"/>
      <c r="I73" s="278"/>
      <c r="J73" s="278"/>
      <c r="K73" s="278"/>
      <c r="L73" s="278">
        <f t="shared" si="36"/>
        <v>65083</v>
      </c>
      <c r="M73" s="278"/>
      <c r="N73" s="278"/>
      <c r="O73" s="278"/>
      <c r="P73" s="278"/>
      <c r="Q73" s="278"/>
      <c r="R73" s="278"/>
      <c r="S73" s="278"/>
      <c r="T73" s="279">
        <f t="shared" si="37"/>
        <v>102273</v>
      </c>
      <c r="U73" s="280"/>
      <c r="V73" s="280"/>
      <c r="W73" s="280"/>
      <c r="X73" s="280"/>
      <c r="Y73" s="280"/>
      <c r="Z73" s="280"/>
      <c r="AA73" s="281"/>
      <c r="AB73" s="49"/>
      <c r="AC73" s="48"/>
      <c r="AD73" s="282">
        <f>C14</f>
        <v>6</v>
      </c>
      <c r="AE73" s="157"/>
      <c r="AF73" s="157"/>
      <c r="AG73" s="157"/>
      <c r="AH73" s="278">
        <f>AH13+((AD14-AD13)*(AH8-AH7))</f>
        <v>46490</v>
      </c>
      <c r="AI73" s="278"/>
      <c r="AJ73" s="278"/>
      <c r="AK73" s="278"/>
      <c r="AL73" s="278"/>
      <c r="AM73" s="278">
        <f t="shared" si="38"/>
        <v>81358</v>
      </c>
      <c r="AN73" s="278"/>
      <c r="AO73" s="278"/>
      <c r="AP73" s="278"/>
      <c r="AQ73" s="278"/>
      <c r="AR73" s="278"/>
      <c r="AS73" s="278"/>
      <c r="AT73" s="278"/>
      <c r="AU73" s="279">
        <f t="shared" si="39"/>
        <v>127848</v>
      </c>
      <c r="AV73" s="280"/>
      <c r="AW73" s="280"/>
      <c r="AX73" s="280"/>
      <c r="AY73" s="280"/>
      <c r="AZ73" s="280"/>
      <c r="BA73" s="280"/>
      <c r="BB73" s="281"/>
      <c r="BC73" s="49"/>
      <c r="BD73" s="48"/>
      <c r="BE73" s="282">
        <f>C14</f>
        <v>6</v>
      </c>
      <c r="BF73" s="157"/>
      <c r="BG73" s="157"/>
      <c r="BH73" s="157"/>
      <c r="BI73" s="278">
        <f>BI13+((BE14-BE13)*(BI8-BI7))</f>
        <v>42780</v>
      </c>
      <c r="BJ73" s="278"/>
      <c r="BK73" s="278"/>
      <c r="BL73" s="278"/>
      <c r="BM73" s="278"/>
      <c r="BN73" s="278">
        <f t="shared" si="40"/>
        <v>74865</v>
      </c>
      <c r="BO73" s="278"/>
      <c r="BP73" s="278"/>
      <c r="BQ73" s="278"/>
      <c r="BR73" s="278"/>
      <c r="BS73" s="278"/>
      <c r="BT73" s="278"/>
      <c r="BU73" s="278"/>
      <c r="BV73" s="279">
        <f t="shared" si="41"/>
        <v>117645</v>
      </c>
      <c r="BW73" s="280"/>
      <c r="BX73" s="280"/>
      <c r="BY73" s="280"/>
      <c r="BZ73" s="280"/>
      <c r="CA73" s="280"/>
      <c r="CB73" s="280"/>
      <c r="CC73" s="281"/>
      <c r="CD73" s="49"/>
    </row>
    <row r="74" spans="2:82" x14ac:dyDescent="0.35">
      <c r="B74" s="48"/>
      <c r="C74" s="50" t="s">
        <v>177</v>
      </c>
      <c r="D74" s="234" t="s">
        <v>374</v>
      </c>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49"/>
      <c r="AC74" s="48"/>
      <c r="AD74" s="50" t="s">
        <v>177</v>
      </c>
      <c r="AE74" s="234" t="s">
        <v>375</v>
      </c>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49"/>
      <c r="BD74" s="48"/>
      <c r="BE74" s="50" t="s">
        <v>177</v>
      </c>
      <c r="BF74" s="234" t="s">
        <v>376</v>
      </c>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234"/>
      <c r="CC74" s="234"/>
      <c r="CD74" s="49"/>
    </row>
    <row r="75" spans="2:82" x14ac:dyDescent="0.35">
      <c r="B75" s="48"/>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49"/>
      <c r="AC75" s="48"/>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49"/>
      <c r="BD75" s="48"/>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234"/>
      <c r="CC75" s="234"/>
      <c r="CD75" s="49"/>
    </row>
    <row r="76" spans="2:82" ht="7.25" customHeight="1" thickBot="1" x14ac:dyDescent="0.4">
      <c r="B76" s="51"/>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3"/>
      <c r="AC76" s="51"/>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3"/>
      <c r="BD76" s="51"/>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3"/>
    </row>
    <row r="77" spans="2:82" ht="15" thickTop="1" x14ac:dyDescent="0.35"/>
  </sheetData>
  <sheetProtection algorithmName="SHA-512" hashValue="jMBMcNwIRa6zTtAv0GDsFdppS2FWlOnytynUSAS8CPzUhcP7AqqX2iCzTqPl34xy9zakCIVuJ1C1cRPnSGDmYA==" saltValue="b+IdjYo6EpnHDPl2207sKA==" spinCount="100000" sheet="1" objects="1" scenarios="1"/>
  <mergeCells count="588">
    <mergeCell ref="C4:AA4"/>
    <mergeCell ref="C7:F7"/>
    <mergeCell ref="C8:F8"/>
    <mergeCell ref="C9:F9"/>
    <mergeCell ref="C10:F10"/>
    <mergeCell ref="C11:F11"/>
    <mergeCell ref="C12:F12"/>
    <mergeCell ref="C13:F13"/>
    <mergeCell ref="C14:F14"/>
    <mergeCell ref="T7:AA7"/>
    <mergeCell ref="L7:S7"/>
    <mergeCell ref="G7:K7"/>
    <mergeCell ref="G8:K8"/>
    <mergeCell ref="L8:S8"/>
    <mergeCell ref="T8:AA8"/>
    <mergeCell ref="G9:K9"/>
    <mergeCell ref="L9:S9"/>
    <mergeCell ref="T9:AA9"/>
    <mergeCell ref="G10:K10"/>
    <mergeCell ref="L10:S10"/>
    <mergeCell ref="T10:AA10"/>
    <mergeCell ref="G11:K11"/>
    <mergeCell ref="L11:S11"/>
    <mergeCell ref="T11:AA11"/>
    <mergeCell ref="C18:AA18"/>
    <mergeCell ref="C19:F20"/>
    <mergeCell ref="G19:K20"/>
    <mergeCell ref="L19:S20"/>
    <mergeCell ref="T19:AA20"/>
    <mergeCell ref="L5:S6"/>
    <mergeCell ref="T5:AA6"/>
    <mergeCell ref="C5:F6"/>
    <mergeCell ref="G5:K6"/>
    <mergeCell ref="G14:K14"/>
    <mergeCell ref="L14:S14"/>
    <mergeCell ref="T14:AA14"/>
    <mergeCell ref="D15:AA16"/>
    <mergeCell ref="G12:K12"/>
    <mergeCell ref="L12:S12"/>
    <mergeCell ref="T12:AA12"/>
    <mergeCell ref="G13:K13"/>
    <mergeCell ref="L13:S13"/>
    <mergeCell ref="T13:AA13"/>
    <mergeCell ref="C23:F23"/>
    <mergeCell ref="G23:K23"/>
    <mergeCell ref="L23:S23"/>
    <mergeCell ref="T23:AA23"/>
    <mergeCell ref="C24:F24"/>
    <mergeCell ref="G24:K24"/>
    <mergeCell ref="L24:S24"/>
    <mergeCell ref="T24:AA24"/>
    <mergeCell ref="C21:F21"/>
    <mergeCell ref="G21:K21"/>
    <mergeCell ref="L21:S21"/>
    <mergeCell ref="T21:AA21"/>
    <mergeCell ref="C22:F22"/>
    <mergeCell ref="G22:K22"/>
    <mergeCell ref="L22:S22"/>
    <mergeCell ref="T22:AA22"/>
    <mergeCell ref="C27:F27"/>
    <mergeCell ref="G27:K27"/>
    <mergeCell ref="L27:S27"/>
    <mergeCell ref="T27:AA27"/>
    <mergeCell ref="C28:F28"/>
    <mergeCell ref="G28:K28"/>
    <mergeCell ref="L28:S28"/>
    <mergeCell ref="T28:AA28"/>
    <mergeCell ref="C25:F25"/>
    <mergeCell ref="G25:K25"/>
    <mergeCell ref="L25:S25"/>
    <mergeCell ref="T25:AA25"/>
    <mergeCell ref="C26:F26"/>
    <mergeCell ref="G26:K26"/>
    <mergeCell ref="L26:S26"/>
    <mergeCell ref="T26:AA26"/>
    <mergeCell ref="AD4:BB4"/>
    <mergeCell ref="AD5:AG6"/>
    <mergeCell ref="AH5:AL6"/>
    <mergeCell ref="AM5:AT6"/>
    <mergeCell ref="AU5:BB6"/>
    <mergeCell ref="AD7:AG7"/>
    <mergeCell ref="AH7:AL7"/>
    <mergeCell ref="AM7:AT7"/>
    <mergeCell ref="AU7:BB7"/>
    <mergeCell ref="AD10:AG10"/>
    <mergeCell ref="AH10:AL10"/>
    <mergeCell ref="AM10:AT10"/>
    <mergeCell ref="AU10:BB10"/>
    <mergeCell ref="AD11:AG11"/>
    <mergeCell ref="AH11:AL11"/>
    <mergeCell ref="AM11:AT11"/>
    <mergeCell ref="AU11:BB11"/>
    <mergeCell ref="AD8:AG8"/>
    <mergeCell ref="AH8:AL8"/>
    <mergeCell ref="AM8:AT8"/>
    <mergeCell ref="AU8:BB8"/>
    <mergeCell ref="AD9:AG9"/>
    <mergeCell ref="AH9:AL9"/>
    <mergeCell ref="AM9:AT9"/>
    <mergeCell ref="AU9:BB9"/>
    <mergeCell ref="AU21:BB21"/>
    <mergeCell ref="AD14:AG14"/>
    <mergeCell ref="AH14:AL14"/>
    <mergeCell ref="AM14:AT14"/>
    <mergeCell ref="AU14:BB14"/>
    <mergeCell ref="AE15:BB16"/>
    <mergeCell ref="AD18:BB18"/>
    <mergeCell ref="AD12:AG12"/>
    <mergeCell ref="AH12:AL12"/>
    <mergeCell ref="AM12:AT12"/>
    <mergeCell ref="AU12:BB12"/>
    <mergeCell ref="AD13:AG13"/>
    <mergeCell ref="AH13:AL13"/>
    <mergeCell ref="AM13:AT13"/>
    <mergeCell ref="AU13:BB13"/>
    <mergeCell ref="BE4:CC4"/>
    <mergeCell ref="BE5:BH6"/>
    <mergeCell ref="BI5:BM6"/>
    <mergeCell ref="BN5:BU6"/>
    <mergeCell ref="BV5:CC6"/>
    <mergeCell ref="AD26:AG26"/>
    <mergeCell ref="AH26:AL26"/>
    <mergeCell ref="AM26:AT26"/>
    <mergeCell ref="AU26:BB26"/>
    <mergeCell ref="AD24:AG24"/>
    <mergeCell ref="AH24:AL24"/>
    <mergeCell ref="AM24:AT24"/>
    <mergeCell ref="AU24:BB24"/>
    <mergeCell ref="AD25:AG25"/>
    <mergeCell ref="AH25:AL25"/>
    <mergeCell ref="AM25:AT25"/>
    <mergeCell ref="AU25:BB25"/>
    <mergeCell ref="AD22:AG22"/>
    <mergeCell ref="AH22:AL22"/>
    <mergeCell ref="AM22:AT22"/>
    <mergeCell ref="AU22:BB22"/>
    <mergeCell ref="AD23:AG23"/>
    <mergeCell ref="AH23:AL23"/>
    <mergeCell ref="AM23:AT23"/>
    <mergeCell ref="BE7:BH7"/>
    <mergeCell ref="BI7:BM7"/>
    <mergeCell ref="BN7:BU7"/>
    <mergeCell ref="BV7:CC7"/>
    <mergeCell ref="BE8:BH8"/>
    <mergeCell ref="BI8:BM8"/>
    <mergeCell ref="BN8:BU8"/>
    <mergeCell ref="BV8:CC8"/>
    <mergeCell ref="AD28:AG28"/>
    <mergeCell ref="AH28:AL28"/>
    <mergeCell ref="AM28:AT28"/>
    <mergeCell ref="AU28:BB28"/>
    <mergeCell ref="AD27:AG27"/>
    <mergeCell ref="AH27:AL27"/>
    <mergeCell ref="AM27:AT27"/>
    <mergeCell ref="AU27:BB27"/>
    <mergeCell ref="AU23:BB23"/>
    <mergeCell ref="AD19:AG20"/>
    <mergeCell ref="AH19:AL20"/>
    <mergeCell ref="AM19:AT20"/>
    <mergeCell ref="AU19:BB20"/>
    <mergeCell ref="AD21:AG21"/>
    <mergeCell ref="AH21:AL21"/>
    <mergeCell ref="AM21:AT21"/>
    <mergeCell ref="BE11:BH11"/>
    <mergeCell ref="BI11:BM11"/>
    <mergeCell ref="BN11:BU11"/>
    <mergeCell ref="BV11:CC11"/>
    <mergeCell ref="BE12:BH12"/>
    <mergeCell ref="BI12:BM12"/>
    <mergeCell ref="BN12:BU12"/>
    <mergeCell ref="BV12:CC12"/>
    <mergeCell ref="BE9:BH9"/>
    <mergeCell ref="BI9:BM9"/>
    <mergeCell ref="BN9:BU9"/>
    <mergeCell ref="BV9:CC9"/>
    <mergeCell ref="BE10:BH10"/>
    <mergeCell ref="BI10:BM10"/>
    <mergeCell ref="BN10:BU10"/>
    <mergeCell ref="BV10:CC10"/>
    <mergeCell ref="BF15:CC16"/>
    <mergeCell ref="BE18:CC18"/>
    <mergeCell ref="BE19:BH20"/>
    <mergeCell ref="BI19:BM20"/>
    <mergeCell ref="BN19:BU20"/>
    <mergeCell ref="BV19:CC20"/>
    <mergeCell ref="BE13:BH13"/>
    <mergeCell ref="BI13:BM13"/>
    <mergeCell ref="BN13:BU13"/>
    <mergeCell ref="BV13:CC13"/>
    <mergeCell ref="BE14:BH14"/>
    <mergeCell ref="BI14:BM14"/>
    <mergeCell ref="BN14:BU14"/>
    <mergeCell ref="BV14:CC14"/>
    <mergeCell ref="BE23:BH23"/>
    <mergeCell ref="BI23:BM23"/>
    <mergeCell ref="BN23:BU23"/>
    <mergeCell ref="BV23:CC23"/>
    <mergeCell ref="BE24:BH24"/>
    <mergeCell ref="BI24:BM24"/>
    <mergeCell ref="BN24:BU24"/>
    <mergeCell ref="BV24:CC24"/>
    <mergeCell ref="BE21:BH21"/>
    <mergeCell ref="BI21:BM21"/>
    <mergeCell ref="BN21:BU21"/>
    <mergeCell ref="BV21:CC21"/>
    <mergeCell ref="BE22:BH22"/>
    <mergeCell ref="BI22:BM22"/>
    <mergeCell ref="BN22:BU22"/>
    <mergeCell ref="BV22:CC22"/>
    <mergeCell ref="BE27:BH27"/>
    <mergeCell ref="BI27:BM27"/>
    <mergeCell ref="BN27:BU27"/>
    <mergeCell ref="BV27:CC27"/>
    <mergeCell ref="BE28:BH28"/>
    <mergeCell ref="BI28:BM28"/>
    <mergeCell ref="BN28:BU28"/>
    <mergeCell ref="BV28:CC28"/>
    <mergeCell ref="BE25:BH25"/>
    <mergeCell ref="BI25:BM25"/>
    <mergeCell ref="BN25:BU25"/>
    <mergeCell ref="BV25:CC25"/>
    <mergeCell ref="BE26:BH26"/>
    <mergeCell ref="BI26:BM26"/>
    <mergeCell ref="BN26:BU26"/>
    <mergeCell ref="BV26:CC26"/>
    <mergeCell ref="AM35:AT36"/>
    <mergeCell ref="AU35:BB36"/>
    <mergeCell ref="BE35:BH36"/>
    <mergeCell ref="BI35:BM36"/>
    <mergeCell ref="BN35:BU36"/>
    <mergeCell ref="BV35:CC36"/>
    <mergeCell ref="BF29:CC30"/>
    <mergeCell ref="C34:AA34"/>
    <mergeCell ref="AD34:BB34"/>
    <mergeCell ref="BE34:CC34"/>
    <mergeCell ref="C35:F36"/>
    <mergeCell ref="G35:K36"/>
    <mergeCell ref="L35:S36"/>
    <mergeCell ref="T35:AA36"/>
    <mergeCell ref="AD35:AG36"/>
    <mergeCell ref="AH35:AL36"/>
    <mergeCell ref="AE29:BB30"/>
    <mergeCell ref="D29:AA30"/>
    <mergeCell ref="AM37:AT37"/>
    <mergeCell ref="AU37:BB37"/>
    <mergeCell ref="BE37:BH37"/>
    <mergeCell ref="BI37:BM37"/>
    <mergeCell ref="BN37:BU37"/>
    <mergeCell ref="BV37:CC37"/>
    <mergeCell ref="C37:F37"/>
    <mergeCell ref="G37:K37"/>
    <mergeCell ref="L37:S37"/>
    <mergeCell ref="T37:AA37"/>
    <mergeCell ref="AD37:AG37"/>
    <mergeCell ref="AH37:AL37"/>
    <mergeCell ref="AM38:AT38"/>
    <mergeCell ref="AU38:BB38"/>
    <mergeCell ref="BE38:BH38"/>
    <mergeCell ref="BI38:BM38"/>
    <mergeCell ref="BN38:BU38"/>
    <mergeCell ref="BV38:CC38"/>
    <mergeCell ref="C38:F38"/>
    <mergeCell ref="G38:K38"/>
    <mergeCell ref="L38:S38"/>
    <mergeCell ref="T38:AA38"/>
    <mergeCell ref="AD38:AG38"/>
    <mergeCell ref="AH38:AL38"/>
    <mergeCell ref="AM39:AT39"/>
    <mergeCell ref="AU39:BB39"/>
    <mergeCell ref="BE39:BH39"/>
    <mergeCell ref="BI39:BM39"/>
    <mergeCell ref="BN39:BU39"/>
    <mergeCell ref="BV39:CC39"/>
    <mergeCell ref="C39:F39"/>
    <mergeCell ref="G39:K39"/>
    <mergeCell ref="L39:S39"/>
    <mergeCell ref="T39:AA39"/>
    <mergeCell ref="AD39:AG39"/>
    <mergeCell ref="AH39:AL39"/>
    <mergeCell ref="AM40:AT40"/>
    <mergeCell ref="AU40:BB40"/>
    <mergeCell ref="BE40:BH40"/>
    <mergeCell ref="BI40:BM40"/>
    <mergeCell ref="BN40:BU40"/>
    <mergeCell ref="BV40:CC40"/>
    <mergeCell ref="C40:F40"/>
    <mergeCell ref="G40:K40"/>
    <mergeCell ref="L40:S40"/>
    <mergeCell ref="T40:AA40"/>
    <mergeCell ref="AD40:AG40"/>
    <mergeCell ref="AH40:AL40"/>
    <mergeCell ref="AM41:AT41"/>
    <mergeCell ref="AU41:BB41"/>
    <mergeCell ref="BE41:BH41"/>
    <mergeCell ref="BI41:BM41"/>
    <mergeCell ref="BN41:BU41"/>
    <mergeCell ref="BV41:CC41"/>
    <mergeCell ref="C41:F41"/>
    <mergeCell ref="G41:K41"/>
    <mergeCell ref="L41:S41"/>
    <mergeCell ref="T41:AA41"/>
    <mergeCell ref="AD41:AG41"/>
    <mergeCell ref="AH41:AL41"/>
    <mergeCell ref="AM42:AT42"/>
    <mergeCell ref="AU42:BB42"/>
    <mergeCell ref="BE42:BH42"/>
    <mergeCell ref="BI42:BM42"/>
    <mergeCell ref="BN42:BU42"/>
    <mergeCell ref="BV42:CC42"/>
    <mergeCell ref="C42:F42"/>
    <mergeCell ref="G42:K42"/>
    <mergeCell ref="L42:S42"/>
    <mergeCell ref="T42:AA42"/>
    <mergeCell ref="AD42:AG42"/>
    <mergeCell ref="AH42:AL42"/>
    <mergeCell ref="AM43:AT43"/>
    <mergeCell ref="AU43:BB43"/>
    <mergeCell ref="BE43:BH43"/>
    <mergeCell ref="BI43:BM43"/>
    <mergeCell ref="BN43:BU43"/>
    <mergeCell ref="BV43:CC43"/>
    <mergeCell ref="C43:F43"/>
    <mergeCell ref="G43:K43"/>
    <mergeCell ref="L43:S43"/>
    <mergeCell ref="T43:AA43"/>
    <mergeCell ref="AD43:AG43"/>
    <mergeCell ref="AH43:AL43"/>
    <mergeCell ref="D45:AA46"/>
    <mergeCell ref="AE45:BB46"/>
    <mergeCell ref="BF45:CC46"/>
    <mergeCell ref="C48:AA48"/>
    <mergeCell ref="AD48:BB48"/>
    <mergeCell ref="BE48:CC48"/>
    <mergeCell ref="AM44:AT44"/>
    <mergeCell ref="AU44:BB44"/>
    <mergeCell ref="BE44:BH44"/>
    <mergeCell ref="BI44:BM44"/>
    <mergeCell ref="BN44:BU44"/>
    <mergeCell ref="BV44:CC44"/>
    <mergeCell ref="C44:F44"/>
    <mergeCell ref="G44:K44"/>
    <mergeCell ref="L44:S44"/>
    <mergeCell ref="T44:AA44"/>
    <mergeCell ref="AD44:AG44"/>
    <mergeCell ref="AH44:AL44"/>
    <mergeCell ref="AM49:AT50"/>
    <mergeCell ref="AU49:BB50"/>
    <mergeCell ref="BE49:BH50"/>
    <mergeCell ref="BI49:BM50"/>
    <mergeCell ref="BN49:BU50"/>
    <mergeCell ref="BV49:CC50"/>
    <mergeCell ref="C49:F50"/>
    <mergeCell ref="G49:K50"/>
    <mergeCell ref="L49:S50"/>
    <mergeCell ref="T49:AA50"/>
    <mergeCell ref="AD49:AG50"/>
    <mergeCell ref="AH49:AL50"/>
    <mergeCell ref="AM51:AT51"/>
    <mergeCell ref="AU51:BB51"/>
    <mergeCell ref="BE51:BH51"/>
    <mergeCell ref="BI51:BM51"/>
    <mergeCell ref="BN51:BU51"/>
    <mergeCell ref="BV51:CC51"/>
    <mergeCell ref="C51:F51"/>
    <mergeCell ref="G51:K51"/>
    <mergeCell ref="L51:S51"/>
    <mergeCell ref="T51:AA51"/>
    <mergeCell ref="AD51:AG51"/>
    <mergeCell ref="AH51:AL51"/>
    <mergeCell ref="AM52:AT52"/>
    <mergeCell ref="AU52:BB52"/>
    <mergeCell ref="BE52:BH52"/>
    <mergeCell ref="BI52:BM52"/>
    <mergeCell ref="BN52:BU52"/>
    <mergeCell ref="BV52:CC52"/>
    <mergeCell ref="C52:F52"/>
    <mergeCell ref="G52:K52"/>
    <mergeCell ref="L52:S52"/>
    <mergeCell ref="T52:AA52"/>
    <mergeCell ref="AD52:AG52"/>
    <mergeCell ref="AH52:AL52"/>
    <mergeCell ref="AM53:AT53"/>
    <mergeCell ref="AU53:BB53"/>
    <mergeCell ref="BE53:BH53"/>
    <mergeCell ref="BI53:BM53"/>
    <mergeCell ref="BN53:BU53"/>
    <mergeCell ref="BV53:CC53"/>
    <mergeCell ref="C53:F53"/>
    <mergeCell ref="G53:K53"/>
    <mergeCell ref="L53:S53"/>
    <mergeCell ref="T53:AA53"/>
    <mergeCell ref="AD53:AG53"/>
    <mergeCell ref="AH53:AL53"/>
    <mergeCell ref="AM54:AT54"/>
    <mergeCell ref="AU54:BB54"/>
    <mergeCell ref="BE54:BH54"/>
    <mergeCell ref="BI54:BM54"/>
    <mergeCell ref="BN54:BU54"/>
    <mergeCell ref="BV54:CC54"/>
    <mergeCell ref="C54:F54"/>
    <mergeCell ref="G54:K54"/>
    <mergeCell ref="L54:S54"/>
    <mergeCell ref="T54:AA54"/>
    <mergeCell ref="AD54:AG54"/>
    <mergeCell ref="AH54:AL54"/>
    <mergeCell ref="AM55:AT55"/>
    <mergeCell ref="AU55:BB55"/>
    <mergeCell ref="BE55:BH55"/>
    <mergeCell ref="BI55:BM55"/>
    <mergeCell ref="BN55:BU55"/>
    <mergeCell ref="BV55:CC55"/>
    <mergeCell ref="C55:F55"/>
    <mergeCell ref="G55:K55"/>
    <mergeCell ref="L55:S55"/>
    <mergeCell ref="T55:AA55"/>
    <mergeCell ref="AD55:AG55"/>
    <mergeCell ref="AH55:AL55"/>
    <mergeCell ref="AM56:AT56"/>
    <mergeCell ref="AU56:BB56"/>
    <mergeCell ref="BE56:BH56"/>
    <mergeCell ref="BI56:BM56"/>
    <mergeCell ref="BN56:BU56"/>
    <mergeCell ref="BV56:CC56"/>
    <mergeCell ref="C56:F56"/>
    <mergeCell ref="G56:K56"/>
    <mergeCell ref="L56:S56"/>
    <mergeCell ref="T56:AA56"/>
    <mergeCell ref="AD56:AG56"/>
    <mergeCell ref="AH56:AL56"/>
    <mergeCell ref="BI57:BM57"/>
    <mergeCell ref="BN57:BU57"/>
    <mergeCell ref="BV57:CC57"/>
    <mergeCell ref="C57:F57"/>
    <mergeCell ref="G57:K57"/>
    <mergeCell ref="L57:S57"/>
    <mergeCell ref="T57:AA57"/>
    <mergeCell ref="AD57:AG57"/>
    <mergeCell ref="AH57:AL57"/>
    <mergeCell ref="D59:AA60"/>
    <mergeCell ref="AE59:BB60"/>
    <mergeCell ref="BF59:CC60"/>
    <mergeCell ref="C2:AA2"/>
    <mergeCell ref="AD2:BB2"/>
    <mergeCell ref="BE2:CC2"/>
    <mergeCell ref="C32:AA32"/>
    <mergeCell ref="AD32:BB32"/>
    <mergeCell ref="BE32:CC32"/>
    <mergeCell ref="AM58:AT58"/>
    <mergeCell ref="AU58:BB58"/>
    <mergeCell ref="BE58:BH58"/>
    <mergeCell ref="BI58:BM58"/>
    <mergeCell ref="BN58:BU58"/>
    <mergeCell ref="BV58:CC58"/>
    <mergeCell ref="C58:F58"/>
    <mergeCell ref="G58:K58"/>
    <mergeCell ref="L58:S58"/>
    <mergeCell ref="T58:AA58"/>
    <mergeCell ref="AD58:AG58"/>
    <mergeCell ref="AH58:AL58"/>
    <mergeCell ref="AM57:AT57"/>
    <mergeCell ref="AU57:BB57"/>
    <mergeCell ref="BE57:BH57"/>
    <mergeCell ref="C62:AA62"/>
    <mergeCell ref="C63:F64"/>
    <mergeCell ref="G63:K64"/>
    <mergeCell ref="L63:S64"/>
    <mergeCell ref="T63:AA64"/>
    <mergeCell ref="C66:F66"/>
    <mergeCell ref="G66:K66"/>
    <mergeCell ref="L66:S66"/>
    <mergeCell ref="T66:AA66"/>
    <mergeCell ref="T70:AA70"/>
    <mergeCell ref="C67:F67"/>
    <mergeCell ref="G67:K67"/>
    <mergeCell ref="L67:S67"/>
    <mergeCell ref="T67:AA67"/>
    <mergeCell ref="C68:F68"/>
    <mergeCell ref="G68:K68"/>
    <mergeCell ref="L68:S68"/>
    <mergeCell ref="T68:AA68"/>
    <mergeCell ref="C73:F73"/>
    <mergeCell ref="G73:K73"/>
    <mergeCell ref="L73:S73"/>
    <mergeCell ref="T73:AA73"/>
    <mergeCell ref="D74:AA75"/>
    <mergeCell ref="C65:F65"/>
    <mergeCell ref="G65:K65"/>
    <mergeCell ref="L65:S65"/>
    <mergeCell ref="T65:AA65"/>
    <mergeCell ref="C71:F71"/>
    <mergeCell ref="G71:K71"/>
    <mergeCell ref="L71:S71"/>
    <mergeCell ref="T71:AA71"/>
    <mergeCell ref="C72:F72"/>
    <mergeCell ref="G72:K72"/>
    <mergeCell ref="L72:S72"/>
    <mergeCell ref="T72:AA72"/>
    <mergeCell ref="C69:F69"/>
    <mergeCell ref="G69:K69"/>
    <mergeCell ref="L69:S69"/>
    <mergeCell ref="T69:AA69"/>
    <mergeCell ref="C70:F70"/>
    <mergeCell ref="G70:K70"/>
    <mergeCell ref="L70:S70"/>
    <mergeCell ref="AD66:AG66"/>
    <mergeCell ref="AH66:AL66"/>
    <mergeCell ref="AM66:AT66"/>
    <mergeCell ref="AU66:BB66"/>
    <mergeCell ref="AD67:AG67"/>
    <mergeCell ref="AH67:AL67"/>
    <mergeCell ref="AM67:AT67"/>
    <mergeCell ref="AU67:BB67"/>
    <mergeCell ref="AD62:BB62"/>
    <mergeCell ref="AD63:AG64"/>
    <mergeCell ref="AH63:AL64"/>
    <mergeCell ref="AM63:AT64"/>
    <mergeCell ref="AU63:BB64"/>
    <mergeCell ref="AD65:AG65"/>
    <mergeCell ref="AH65:AL65"/>
    <mergeCell ref="AM65:AT65"/>
    <mergeCell ref="AU65:BB65"/>
    <mergeCell ref="AU71:BB71"/>
    <mergeCell ref="AD68:AG68"/>
    <mergeCell ref="AH68:AL68"/>
    <mergeCell ref="AM68:AT68"/>
    <mergeCell ref="AU68:BB68"/>
    <mergeCell ref="AD69:AG69"/>
    <mergeCell ref="AH69:AL69"/>
    <mergeCell ref="AM69:AT69"/>
    <mergeCell ref="AU69:BB69"/>
    <mergeCell ref="BE62:CC62"/>
    <mergeCell ref="BE63:BH64"/>
    <mergeCell ref="BI63:BM64"/>
    <mergeCell ref="BN63:BU64"/>
    <mergeCell ref="BV63:CC64"/>
    <mergeCell ref="BE65:BH65"/>
    <mergeCell ref="BI65:BM65"/>
    <mergeCell ref="BN65:BU65"/>
    <mergeCell ref="BV65:CC65"/>
    <mergeCell ref="BE66:BH66"/>
    <mergeCell ref="BI66:BM66"/>
    <mergeCell ref="BN66:BU66"/>
    <mergeCell ref="BV66:CC66"/>
    <mergeCell ref="BE67:BH67"/>
    <mergeCell ref="BI67:BM67"/>
    <mergeCell ref="BN67:BU67"/>
    <mergeCell ref="BV67:CC67"/>
    <mergeCell ref="AE74:BB75"/>
    <mergeCell ref="AD72:AG72"/>
    <mergeCell ref="AH72:AL72"/>
    <mergeCell ref="AM72:AT72"/>
    <mergeCell ref="AU72:BB72"/>
    <mergeCell ref="AD73:AG73"/>
    <mergeCell ref="AH73:AL73"/>
    <mergeCell ref="AM73:AT73"/>
    <mergeCell ref="AU73:BB73"/>
    <mergeCell ref="AD70:AG70"/>
    <mergeCell ref="AH70:AL70"/>
    <mergeCell ref="AM70:AT70"/>
    <mergeCell ref="AU70:BB70"/>
    <mergeCell ref="AD71:AG71"/>
    <mergeCell ref="AH71:AL71"/>
    <mergeCell ref="AM71:AT71"/>
    <mergeCell ref="BE70:BH70"/>
    <mergeCell ref="BI70:BM70"/>
    <mergeCell ref="BN70:BU70"/>
    <mergeCell ref="BV70:CC70"/>
    <mergeCell ref="BE71:BH71"/>
    <mergeCell ref="BI71:BM71"/>
    <mergeCell ref="BN71:BU71"/>
    <mergeCell ref="BV71:CC71"/>
    <mergeCell ref="BE68:BH68"/>
    <mergeCell ref="BI68:BM68"/>
    <mergeCell ref="BN68:BU68"/>
    <mergeCell ref="BV68:CC68"/>
    <mergeCell ref="BE69:BH69"/>
    <mergeCell ref="BI69:BM69"/>
    <mergeCell ref="BN69:BU69"/>
    <mergeCell ref="BV69:CC69"/>
    <mergeCell ref="BF74:CC75"/>
    <mergeCell ref="BE72:BH72"/>
    <mergeCell ref="BI72:BM72"/>
    <mergeCell ref="BN72:BU72"/>
    <mergeCell ref="BV72:CC72"/>
    <mergeCell ref="BE73:BH73"/>
    <mergeCell ref="BI73:BM73"/>
    <mergeCell ref="BN73:BU73"/>
    <mergeCell ref="BV73:CC7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D977-8E58-48F7-9E91-86FF7D294968}">
  <sheetPr>
    <tabColor theme="9" tint="0.79998168889431442"/>
    <pageSetUpPr fitToPage="1"/>
  </sheetPr>
  <dimension ref="A1:BH44"/>
  <sheetViews>
    <sheetView showGridLines="0" showRowColHeaders="0" topLeftCell="A15" zoomScaleNormal="100" workbookViewId="0">
      <selection activeCell="AB24" sqref="AB24:AI24"/>
    </sheetView>
  </sheetViews>
  <sheetFormatPr defaultColWidth="3.453125" defaultRowHeight="14.5" x14ac:dyDescent="0.35"/>
  <sheetData>
    <row r="1" spans="1:60" ht="15" thickBot="1" x14ac:dyDescent="0.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row>
    <row r="2" spans="1:60" ht="15" thickTop="1" x14ac:dyDescent="0.35">
      <c r="A2" s="17"/>
      <c r="AZ2" s="16"/>
      <c r="BA2" s="250" t="s">
        <v>341</v>
      </c>
      <c r="BB2" s="251"/>
      <c r="BC2" s="251"/>
      <c r="BD2" s="251"/>
      <c r="BE2" s="251"/>
      <c r="BF2" s="252"/>
    </row>
    <row r="3" spans="1:60" ht="15" thickBot="1" x14ac:dyDescent="0.4">
      <c r="A3" s="17"/>
      <c r="C3" s="310" t="s">
        <v>315</v>
      </c>
      <c r="D3" s="310"/>
      <c r="E3" s="310"/>
      <c r="F3" s="310"/>
      <c r="G3" s="310"/>
      <c r="H3" s="310"/>
      <c r="I3" s="310"/>
      <c r="K3" s="310" t="s">
        <v>316</v>
      </c>
      <c r="L3" s="310"/>
      <c r="M3" s="310"/>
      <c r="N3" s="310"/>
      <c r="O3" s="310"/>
      <c r="P3" s="310"/>
      <c r="Q3" s="310"/>
      <c r="R3" s="310"/>
      <c r="S3" s="310"/>
      <c r="T3" s="310"/>
      <c r="U3" s="310"/>
      <c r="W3" s="310" t="s">
        <v>319</v>
      </c>
      <c r="X3" s="310"/>
      <c r="Y3" s="310"/>
      <c r="Z3" s="310"/>
      <c r="AA3" s="310"/>
      <c r="AC3" s="310" t="s">
        <v>321</v>
      </c>
      <c r="AD3" s="310"/>
      <c r="AE3" s="310"/>
      <c r="AF3" s="310"/>
      <c r="AG3" s="310"/>
      <c r="AI3" s="263" t="s">
        <v>329</v>
      </c>
      <c r="AJ3" s="263"/>
      <c r="AK3" s="263"/>
      <c r="AL3" s="263"/>
      <c r="AM3" s="263"/>
      <c r="AO3" s="263" t="s">
        <v>328</v>
      </c>
      <c r="AP3" s="263"/>
      <c r="AQ3" s="263"/>
      <c r="AR3" s="263"/>
      <c r="AS3" s="263"/>
      <c r="AU3" s="263" t="s">
        <v>446</v>
      </c>
      <c r="AV3" s="263"/>
      <c r="AW3" s="263"/>
      <c r="AX3" s="263"/>
      <c r="AY3" s="263"/>
      <c r="AZ3" s="17"/>
      <c r="BA3" s="253"/>
      <c r="BB3" s="254"/>
      <c r="BC3" s="254"/>
      <c r="BD3" s="254"/>
      <c r="BE3" s="254"/>
      <c r="BF3" s="255"/>
    </row>
    <row r="4" spans="1:60" ht="15" thickTop="1" x14ac:dyDescent="0.35">
      <c r="A4" s="17"/>
      <c r="C4" s="310"/>
      <c r="D4" s="310"/>
      <c r="E4" s="310"/>
      <c r="F4" s="310"/>
      <c r="G4" s="310"/>
      <c r="H4" s="310"/>
      <c r="I4" s="310"/>
      <c r="K4" s="310"/>
      <c r="L4" s="310"/>
      <c r="M4" s="310"/>
      <c r="N4" s="310"/>
      <c r="O4" s="310"/>
      <c r="P4" s="310"/>
      <c r="Q4" s="310"/>
      <c r="R4" s="310"/>
      <c r="S4" s="310"/>
      <c r="T4" s="310"/>
      <c r="U4" s="310"/>
      <c r="W4" s="310"/>
      <c r="X4" s="310"/>
      <c r="Y4" s="310"/>
      <c r="Z4" s="310"/>
      <c r="AA4" s="310"/>
      <c r="AC4" s="310"/>
      <c r="AD4" s="310"/>
      <c r="AE4" s="310"/>
      <c r="AF4" s="310"/>
      <c r="AG4" s="310"/>
      <c r="AI4" s="263"/>
      <c r="AJ4" s="263"/>
      <c r="AK4" s="263"/>
      <c r="AL4" s="263"/>
      <c r="AM4" s="263"/>
      <c r="AO4" s="263"/>
      <c r="AP4" s="263"/>
      <c r="AQ4" s="263"/>
      <c r="AR4" s="263"/>
      <c r="AS4" s="263"/>
      <c r="AU4" s="263"/>
      <c r="AV4" s="263"/>
      <c r="AW4" s="263"/>
      <c r="AX4" s="263"/>
      <c r="AY4" s="263"/>
      <c r="AZ4" s="17"/>
    </row>
    <row r="5" spans="1:60" ht="14.4" customHeight="1" x14ac:dyDescent="0.35">
      <c r="A5" s="17"/>
      <c r="C5" s="315" t="s">
        <v>313</v>
      </c>
      <c r="D5" s="315"/>
      <c r="E5" s="315"/>
      <c r="F5" s="315"/>
      <c r="G5" s="315"/>
      <c r="H5" s="315"/>
      <c r="I5" s="315"/>
      <c r="K5" s="373"/>
      <c r="L5" s="373"/>
      <c r="M5" s="373"/>
      <c r="N5" s="373"/>
      <c r="O5" s="373"/>
      <c r="P5" s="373"/>
      <c r="Q5" s="373"/>
      <c r="R5" s="373"/>
      <c r="S5" s="373"/>
      <c r="T5" s="373"/>
      <c r="U5" s="373"/>
      <c r="W5" s="315"/>
      <c r="X5" s="315"/>
      <c r="Y5" s="315"/>
      <c r="Z5" s="315"/>
      <c r="AA5" s="315"/>
      <c r="AC5" s="315"/>
      <c r="AD5" s="315"/>
      <c r="AE5" s="315"/>
      <c r="AF5" s="315"/>
      <c r="AG5" s="315"/>
      <c r="AI5" s="313">
        <v>9.5</v>
      </c>
      <c r="AJ5" s="313"/>
      <c r="AK5" s="313"/>
      <c r="AL5" s="313"/>
      <c r="AM5" s="313"/>
      <c r="AO5" s="313"/>
      <c r="AP5" s="313"/>
      <c r="AQ5" s="313"/>
      <c r="AR5" s="313"/>
      <c r="AS5" s="313"/>
      <c r="AU5" s="313"/>
      <c r="AV5" s="313"/>
      <c r="AW5" s="313"/>
      <c r="AX5" s="313"/>
      <c r="AY5" s="313"/>
      <c r="AZ5" s="17"/>
    </row>
    <row r="6" spans="1:60" x14ac:dyDescent="0.35">
      <c r="A6" s="17"/>
      <c r="C6" s="315"/>
      <c r="D6" s="315"/>
      <c r="E6" s="315"/>
      <c r="F6" s="315"/>
      <c r="G6" s="315"/>
      <c r="H6" s="315"/>
      <c r="I6" s="315"/>
      <c r="K6" s="373"/>
      <c r="L6" s="373"/>
      <c r="M6" s="373"/>
      <c r="N6" s="373"/>
      <c r="O6" s="373"/>
      <c r="P6" s="373"/>
      <c r="Q6" s="373"/>
      <c r="R6" s="373"/>
      <c r="S6" s="373"/>
      <c r="T6" s="373"/>
      <c r="U6" s="373"/>
      <c r="W6" s="315"/>
      <c r="X6" s="315"/>
      <c r="Y6" s="315"/>
      <c r="Z6" s="315"/>
      <c r="AA6" s="315"/>
      <c r="AC6" s="315"/>
      <c r="AD6" s="315"/>
      <c r="AE6" s="315"/>
      <c r="AF6" s="315"/>
      <c r="AG6" s="315"/>
      <c r="AI6" s="313"/>
      <c r="AJ6" s="313"/>
      <c r="AK6" s="313"/>
      <c r="AL6" s="313"/>
      <c r="AM6" s="313"/>
      <c r="AO6" s="313"/>
      <c r="AP6" s="313"/>
      <c r="AQ6" s="313"/>
      <c r="AR6" s="313"/>
      <c r="AS6" s="313"/>
      <c r="AU6" s="313"/>
      <c r="AV6" s="313"/>
      <c r="AW6" s="313"/>
      <c r="AX6" s="313"/>
      <c r="AY6" s="313"/>
      <c r="AZ6" s="17"/>
    </row>
    <row r="7" spans="1:60" ht="15" thickBot="1" x14ac:dyDescent="0.4">
      <c r="A7" s="17"/>
      <c r="B7" s="15"/>
      <c r="C7" s="15"/>
      <c r="D7" s="15"/>
      <c r="E7" s="15"/>
      <c r="F7" s="15"/>
      <c r="G7" s="15"/>
      <c r="H7" s="15"/>
      <c r="I7" s="15"/>
      <c r="J7" s="15"/>
      <c r="K7" s="15"/>
      <c r="L7" s="15"/>
      <c r="M7" s="15"/>
      <c r="N7" s="15"/>
      <c r="O7" s="15"/>
      <c r="P7" s="15"/>
      <c r="Q7" s="15"/>
      <c r="R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8"/>
    </row>
    <row r="8" spans="1:60" ht="15" thickTop="1" x14ac:dyDescent="0.35">
      <c r="R8" s="17"/>
      <c r="Y8" s="17"/>
    </row>
    <row r="9" spans="1:60" ht="14.4" customHeight="1" x14ac:dyDescent="0.35">
      <c r="B9" s="326" t="s">
        <v>325</v>
      </c>
      <c r="C9" s="326"/>
      <c r="D9" s="326"/>
      <c r="E9" s="326"/>
      <c r="F9" s="326"/>
      <c r="G9" s="326"/>
      <c r="H9" s="326"/>
      <c r="I9" s="326"/>
      <c r="J9" s="326"/>
      <c r="K9" s="326"/>
      <c r="M9" s="263" t="s">
        <v>314</v>
      </c>
      <c r="N9" s="263"/>
      <c r="O9" s="263"/>
      <c r="P9" s="263"/>
      <c r="Q9" s="263"/>
      <c r="R9" s="58"/>
      <c r="S9" s="59"/>
      <c r="T9" s="263" t="s">
        <v>313</v>
      </c>
      <c r="U9" s="263"/>
      <c r="V9" s="263"/>
      <c r="W9" s="263"/>
      <c r="X9" s="263"/>
      <c r="Y9" s="58"/>
      <c r="AA9" s="263" t="s">
        <v>320</v>
      </c>
      <c r="AB9" s="263"/>
      <c r="AC9" s="263"/>
      <c r="AD9" s="263"/>
      <c r="AE9" s="263"/>
      <c r="AF9" s="263"/>
      <c r="AG9" s="60"/>
      <c r="AH9" s="263" t="s">
        <v>322</v>
      </c>
      <c r="AI9" s="263"/>
      <c r="AJ9" s="263"/>
      <c r="AK9" s="263"/>
      <c r="AL9" s="263"/>
      <c r="AM9" s="263"/>
      <c r="AN9" s="60"/>
      <c r="AO9" s="263" t="s">
        <v>327</v>
      </c>
      <c r="AP9" s="263"/>
      <c r="AQ9" s="263"/>
      <c r="AR9" s="263"/>
      <c r="AS9" s="263"/>
      <c r="AT9" s="263"/>
      <c r="AU9" s="60"/>
      <c r="AV9" s="263" t="s">
        <v>330</v>
      </c>
      <c r="AW9" s="263"/>
      <c r="AX9" s="263"/>
      <c r="AY9" s="263"/>
      <c r="AZ9" s="263"/>
      <c r="BA9" s="263"/>
      <c r="BC9" s="263" t="s">
        <v>350</v>
      </c>
      <c r="BD9" s="263"/>
      <c r="BE9" s="263"/>
      <c r="BF9" s="263"/>
      <c r="BG9" s="263"/>
      <c r="BH9" s="263"/>
    </row>
    <row r="10" spans="1:60" x14ac:dyDescent="0.35">
      <c r="B10" s="263" t="s">
        <v>323</v>
      </c>
      <c r="C10" s="263"/>
      <c r="D10" s="263"/>
      <c r="E10" s="263"/>
      <c r="F10" s="263"/>
      <c r="G10" s="263" t="s">
        <v>324</v>
      </c>
      <c r="H10" s="263"/>
      <c r="I10" s="263"/>
      <c r="J10" s="263"/>
      <c r="K10" s="263"/>
      <c r="M10" s="263"/>
      <c r="N10" s="263"/>
      <c r="O10" s="263"/>
      <c r="P10" s="263"/>
      <c r="Q10" s="263"/>
      <c r="R10" s="58"/>
      <c r="S10" s="59"/>
      <c r="T10" s="263"/>
      <c r="U10" s="263"/>
      <c r="V10" s="263"/>
      <c r="W10" s="263"/>
      <c r="X10" s="263"/>
      <c r="Y10" s="58"/>
      <c r="AA10" s="263"/>
      <c r="AB10" s="263"/>
      <c r="AC10" s="263"/>
      <c r="AD10" s="263"/>
      <c r="AE10" s="263"/>
      <c r="AF10" s="263"/>
      <c r="AG10" s="60"/>
      <c r="AH10" s="263"/>
      <c r="AI10" s="263"/>
      <c r="AJ10" s="263"/>
      <c r="AK10" s="263"/>
      <c r="AL10" s="263"/>
      <c r="AM10" s="263"/>
      <c r="AN10" s="60"/>
      <c r="AO10" s="263"/>
      <c r="AP10" s="263"/>
      <c r="AQ10" s="263"/>
      <c r="AR10" s="263"/>
      <c r="AS10" s="263"/>
      <c r="AT10" s="263"/>
      <c r="AU10" s="60"/>
      <c r="AV10" s="263"/>
      <c r="AW10" s="263"/>
      <c r="AX10" s="263"/>
      <c r="AY10" s="263"/>
      <c r="AZ10" s="263"/>
      <c r="BA10" s="263"/>
      <c r="BC10" s="263"/>
      <c r="BD10" s="263"/>
      <c r="BE10" s="263"/>
      <c r="BF10" s="263"/>
      <c r="BG10" s="263"/>
      <c r="BH10" s="263"/>
    </row>
    <row r="11" spans="1:60" ht="14.4" customHeight="1" x14ac:dyDescent="0.35">
      <c r="B11" s="374">
        <v>7395</v>
      </c>
      <c r="C11" s="374"/>
      <c r="D11" s="374"/>
      <c r="E11" s="374"/>
      <c r="F11" s="374"/>
      <c r="G11" s="374">
        <v>740</v>
      </c>
      <c r="H11" s="374"/>
      <c r="I11" s="374"/>
      <c r="J11" s="374"/>
      <c r="K11" s="374"/>
      <c r="M11" s="316">
        <f>IF(K5="Formula A (Dependent Student)",'Formula A'!AI127,IF(K5="Formula B (Independent Student without dependents other than a spouse)",'Formula B'!AJ70,'Formula C'!AJ73))</f>
        <v>0</v>
      </c>
      <c r="N11" s="316"/>
      <c r="O11" s="316"/>
      <c r="P11" s="316"/>
      <c r="Q11" s="316"/>
      <c r="R11" s="61"/>
      <c r="S11" s="62"/>
      <c r="T11" s="375">
        <v>-1500</v>
      </c>
      <c r="U11" s="375"/>
      <c r="V11" s="375"/>
      <c r="W11" s="375"/>
      <c r="X11" s="375"/>
      <c r="Y11" s="61"/>
      <c r="AA11" s="314">
        <f>IF(C5="Calculated SAI",
IF(M11&lt;0,B11,
IF(B11-M11&lt;G11,0,B11-M11)),
IF(T11&lt;0,B11,
IF(B11-T11&lt;G11,0,B11-T11)))</f>
        <v>7395</v>
      </c>
      <c r="AB11" s="314"/>
      <c r="AC11" s="314"/>
      <c r="AD11" s="314"/>
      <c r="AE11" s="314"/>
      <c r="AF11" s="314"/>
      <c r="AG11" s="63"/>
      <c r="AH11" s="314">
        <f>MROUND(AA11,5)</f>
        <v>7395</v>
      </c>
      <c r="AI11" s="314"/>
      <c r="AJ11" s="314"/>
      <c r="AK11" s="314"/>
      <c r="AL11" s="314"/>
      <c r="AM11" s="314"/>
      <c r="AN11" s="63"/>
      <c r="AO11" s="314">
        <f>IF(ISBLANK(AI5),0,VLOOKUP(AI5,B17:AQ42,19,FALSE))</f>
        <v>2921.0250000000001</v>
      </c>
      <c r="AP11" s="314"/>
      <c r="AQ11" s="314"/>
      <c r="AR11" s="314"/>
      <c r="AS11" s="314"/>
      <c r="AT11" s="314"/>
      <c r="AU11" s="63"/>
      <c r="AV11" s="314">
        <f>IF(ISBLANK(AO5),0,VLOOKUP(AO5,B17:AQ42,27,FALSE))</f>
        <v>0</v>
      </c>
      <c r="AW11" s="314"/>
      <c r="AX11" s="314"/>
      <c r="AY11" s="314"/>
      <c r="AZ11" s="314"/>
      <c r="BA11" s="314"/>
      <c r="BC11" s="314">
        <f>IF(ISBLANK(AU5),0,VLOOKUP(AU5,B17:AQ42,35,FALSE))</f>
        <v>0</v>
      </c>
      <c r="BD11" s="314"/>
      <c r="BE11" s="314"/>
      <c r="BF11" s="314"/>
      <c r="BG11" s="314"/>
      <c r="BH11" s="314"/>
    </row>
    <row r="12" spans="1:60" ht="14.4" customHeight="1" x14ac:dyDescent="0.35">
      <c r="B12" s="374"/>
      <c r="C12" s="374"/>
      <c r="D12" s="374"/>
      <c r="E12" s="374"/>
      <c r="F12" s="374"/>
      <c r="G12" s="374"/>
      <c r="H12" s="374"/>
      <c r="I12" s="374"/>
      <c r="J12" s="374"/>
      <c r="K12" s="374"/>
      <c r="M12" s="316"/>
      <c r="N12" s="316"/>
      <c r="O12" s="316"/>
      <c r="P12" s="316"/>
      <c r="Q12" s="316"/>
      <c r="R12" s="61"/>
      <c r="S12" s="62"/>
      <c r="T12" s="375"/>
      <c r="U12" s="375"/>
      <c r="V12" s="375"/>
      <c r="W12" s="375"/>
      <c r="X12" s="375"/>
      <c r="Y12" s="61"/>
      <c r="AA12" s="314"/>
      <c r="AB12" s="314"/>
      <c r="AC12" s="314"/>
      <c r="AD12" s="314"/>
      <c r="AE12" s="314"/>
      <c r="AF12" s="314"/>
      <c r="AG12" s="63"/>
      <c r="AH12" s="314"/>
      <c r="AI12" s="314"/>
      <c r="AJ12" s="314"/>
      <c r="AK12" s="314"/>
      <c r="AL12" s="314"/>
      <c r="AM12" s="314"/>
      <c r="AN12" s="63"/>
      <c r="AO12" s="314"/>
      <c r="AP12" s="314"/>
      <c r="AQ12" s="314"/>
      <c r="AR12" s="314"/>
      <c r="AS12" s="314"/>
      <c r="AT12" s="314"/>
      <c r="AU12" s="63"/>
      <c r="AV12" s="314"/>
      <c r="AW12" s="314"/>
      <c r="AX12" s="314"/>
      <c r="AY12" s="314"/>
      <c r="AZ12" s="314"/>
      <c r="BA12" s="314"/>
      <c r="BC12" s="314"/>
      <c r="BD12" s="314"/>
      <c r="BE12" s="314"/>
      <c r="BF12" s="314"/>
      <c r="BG12" s="314"/>
      <c r="BH12" s="314"/>
    </row>
    <row r="13" spans="1:60" ht="14.4" customHeight="1" thickBot="1" x14ac:dyDescent="0.4">
      <c r="B13" s="64"/>
      <c r="C13" s="64"/>
      <c r="D13" s="64"/>
      <c r="E13" s="64"/>
      <c r="F13" s="64"/>
      <c r="G13" s="64"/>
      <c r="H13" s="64"/>
      <c r="I13" s="64"/>
      <c r="J13" s="64"/>
      <c r="K13" s="64"/>
      <c r="M13" s="65"/>
      <c r="N13" s="65"/>
      <c r="O13" s="65"/>
      <c r="P13" s="65"/>
      <c r="Q13" s="65"/>
      <c r="R13" s="61"/>
      <c r="S13" s="66"/>
      <c r="T13" s="67"/>
      <c r="U13" s="67"/>
      <c r="V13" s="67"/>
      <c r="W13" s="67"/>
      <c r="X13" s="67"/>
      <c r="Y13" s="68"/>
      <c r="AA13" s="69"/>
      <c r="AB13" s="69"/>
      <c r="AC13" s="69"/>
      <c r="AD13" s="69"/>
      <c r="AE13" s="69"/>
      <c r="AF13" s="69"/>
      <c r="AG13" s="63"/>
      <c r="AH13" s="69"/>
      <c r="AI13" s="69"/>
      <c r="AJ13" s="69"/>
      <c r="AK13" s="69"/>
      <c r="AL13" s="69"/>
      <c r="AM13" s="69"/>
      <c r="AN13" s="63"/>
      <c r="AO13" s="69"/>
      <c r="AP13" s="69"/>
      <c r="AQ13" s="69"/>
      <c r="AR13" s="69"/>
      <c r="AS13" s="69"/>
      <c r="AT13" s="69"/>
      <c r="AU13" s="63"/>
      <c r="AV13" s="69"/>
      <c r="AW13" s="69"/>
      <c r="AX13" s="69"/>
      <c r="AY13" s="69"/>
      <c r="AZ13" s="69"/>
      <c r="BA13" s="69"/>
      <c r="BC13" s="69"/>
      <c r="BD13" s="69"/>
      <c r="BE13" s="69"/>
      <c r="BF13" s="69"/>
      <c r="BG13" s="69"/>
      <c r="BH13" s="69"/>
    </row>
    <row r="14" spans="1:60" ht="15" thickTop="1" x14ac:dyDescent="0.35"/>
    <row r="15" spans="1:60" ht="20" customHeight="1" x14ac:dyDescent="0.35">
      <c r="B15" s="310" t="s">
        <v>331</v>
      </c>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row>
    <row r="16" spans="1:60" ht="20" customHeight="1" x14ac:dyDescent="0.35">
      <c r="B16" s="310" t="s">
        <v>332</v>
      </c>
      <c r="C16" s="310"/>
      <c r="D16" s="310"/>
      <c r="E16" s="310"/>
      <c r="F16" s="310"/>
      <c r="G16" s="310"/>
      <c r="H16" s="310"/>
      <c r="I16" s="310"/>
      <c r="J16" s="310"/>
      <c r="K16" s="310"/>
      <c r="L16" s="310" t="s">
        <v>334</v>
      </c>
      <c r="M16" s="310"/>
      <c r="N16" s="310"/>
      <c r="O16" s="310"/>
      <c r="P16" s="310"/>
      <c r="Q16" s="310"/>
      <c r="R16" s="310"/>
      <c r="S16" s="310"/>
      <c r="T16" s="310" t="s">
        <v>333</v>
      </c>
      <c r="U16" s="310"/>
      <c r="V16" s="310"/>
      <c r="W16" s="310"/>
      <c r="X16" s="310"/>
      <c r="Y16" s="310"/>
      <c r="Z16" s="310"/>
      <c r="AA16" s="310"/>
      <c r="AB16" s="310" t="s">
        <v>335</v>
      </c>
      <c r="AC16" s="310"/>
      <c r="AD16" s="310"/>
      <c r="AE16" s="310"/>
      <c r="AF16" s="310"/>
      <c r="AG16" s="310"/>
      <c r="AH16" s="310"/>
      <c r="AI16" s="310"/>
      <c r="AJ16" s="310" t="s">
        <v>340</v>
      </c>
      <c r="AK16" s="310"/>
      <c r="AL16" s="310"/>
      <c r="AM16" s="310"/>
      <c r="AN16" s="310"/>
      <c r="AO16" s="310"/>
      <c r="AP16" s="310"/>
      <c r="AQ16" s="310"/>
    </row>
    <row r="17" spans="2:43" ht="20" hidden="1" customHeight="1" x14ac:dyDescent="0.35">
      <c r="B17" s="311">
        <f>IF(AI5&gt;12,AI5,12)</f>
        <v>12</v>
      </c>
      <c r="C17" s="311"/>
      <c r="D17" s="311"/>
      <c r="E17" s="311"/>
      <c r="F17" s="311"/>
      <c r="G17" s="317" t="s">
        <v>336</v>
      </c>
      <c r="H17" s="318"/>
      <c r="I17" s="318"/>
      <c r="J17" s="318"/>
      <c r="K17" s="319"/>
      <c r="L17" s="312">
        <f>IF(W5="YES",B11,IF(AH11&gt;0,AH11,IF(AC5="YES",G11,0)))</f>
        <v>7395</v>
      </c>
      <c r="M17" s="312"/>
      <c r="N17" s="312"/>
      <c r="O17" s="312"/>
      <c r="P17" s="312"/>
      <c r="Q17" s="312"/>
      <c r="R17" s="312"/>
      <c r="S17" s="312"/>
      <c r="T17" s="312">
        <f t="shared" ref="T17:T18" si="0">MROUND(L17/2,1)</f>
        <v>3698</v>
      </c>
      <c r="U17" s="312"/>
      <c r="V17" s="312"/>
      <c r="W17" s="312"/>
      <c r="X17" s="312"/>
      <c r="Y17" s="312"/>
      <c r="Z17" s="312"/>
      <c r="AA17" s="312"/>
      <c r="AB17" s="312">
        <f t="shared" ref="AB17:AB18" si="1">L17-T17</f>
        <v>3697</v>
      </c>
      <c r="AC17" s="312"/>
      <c r="AD17" s="312"/>
      <c r="AE17" s="312"/>
      <c r="AF17" s="312"/>
      <c r="AG17" s="312"/>
      <c r="AH17" s="312"/>
      <c r="AI17" s="312"/>
      <c r="AJ17" s="312">
        <f t="shared" ref="AJ17:AJ18" si="2">T17</f>
        <v>3698</v>
      </c>
      <c r="AK17" s="312"/>
      <c r="AL17" s="312"/>
      <c r="AM17" s="312"/>
      <c r="AN17" s="312"/>
      <c r="AO17" s="312"/>
      <c r="AP17" s="312"/>
      <c r="AQ17" s="312"/>
    </row>
    <row r="18" spans="2:43" ht="20" hidden="1" customHeight="1" x14ac:dyDescent="0.35">
      <c r="B18" s="311">
        <f>IF(AO5&gt;12,AO5,12)</f>
        <v>12</v>
      </c>
      <c r="C18" s="311"/>
      <c r="D18" s="311"/>
      <c r="E18" s="311"/>
      <c r="F18" s="311"/>
      <c r="G18" s="320"/>
      <c r="H18" s="321"/>
      <c r="I18" s="321"/>
      <c r="J18" s="321"/>
      <c r="K18" s="322"/>
      <c r="L18" s="312">
        <f>IF(W5="YES",B11,IF(AH11&gt;0,AH11,IF(AC5="YES",G11,0)))</f>
        <v>7395</v>
      </c>
      <c r="M18" s="312"/>
      <c r="N18" s="312"/>
      <c r="O18" s="312"/>
      <c r="P18" s="312"/>
      <c r="Q18" s="312"/>
      <c r="R18" s="312"/>
      <c r="S18" s="312"/>
      <c r="T18" s="312">
        <f t="shared" si="0"/>
        <v>3698</v>
      </c>
      <c r="U18" s="312"/>
      <c r="V18" s="312"/>
      <c r="W18" s="312"/>
      <c r="X18" s="312"/>
      <c r="Y18" s="312"/>
      <c r="Z18" s="312"/>
      <c r="AA18" s="312"/>
      <c r="AB18" s="312">
        <f t="shared" si="1"/>
        <v>3697</v>
      </c>
      <c r="AC18" s="312"/>
      <c r="AD18" s="312"/>
      <c r="AE18" s="312"/>
      <c r="AF18" s="312"/>
      <c r="AG18" s="312"/>
      <c r="AH18" s="312"/>
      <c r="AI18" s="312"/>
      <c r="AJ18" s="312">
        <f t="shared" si="2"/>
        <v>3698</v>
      </c>
      <c r="AK18" s="312"/>
      <c r="AL18" s="312"/>
      <c r="AM18" s="312"/>
      <c r="AN18" s="312"/>
      <c r="AO18" s="312"/>
      <c r="AP18" s="312"/>
      <c r="AQ18" s="312"/>
    </row>
    <row r="19" spans="2:43" ht="20" customHeight="1" x14ac:dyDescent="0.35">
      <c r="B19" s="311">
        <f>IF(AU5&gt;12,AU5,12)</f>
        <v>12</v>
      </c>
      <c r="C19" s="311"/>
      <c r="D19" s="311"/>
      <c r="E19" s="311"/>
      <c r="F19" s="311"/>
      <c r="G19" s="323"/>
      <c r="H19" s="324"/>
      <c r="I19" s="324"/>
      <c r="J19" s="324"/>
      <c r="K19" s="325"/>
      <c r="L19" s="339">
        <f>IF(W5="YES",B11,IF(AH11&gt;740,AH11,IF(AC5="YES",G11,0)))</f>
        <v>7395</v>
      </c>
      <c r="M19" s="339"/>
      <c r="N19" s="339"/>
      <c r="O19" s="339"/>
      <c r="P19" s="339"/>
      <c r="Q19" s="339"/>
      <c r="R19" s="339"/>
      <c r="S19" s="339"/>
      <c r="T19" s="339">
        <f>L19/2</f>
        <v>3697.5</v>
      </c>
      <c r="U19" s="339"/>
      <c r="V19" s="339"/>
      <c r="W19" s="339"/>
      <c r="X19" s="339"/>
      <c r="Y19" s="339"/>
      <c r="Z19" s="339"/>
      <c r="AA19" s="339"/>
      <c r="AB19" s="339">
        <f>L19-T19</f>
        <v>3697.5</v>
      </c>
      <c r="AC19" s="339"/>
      <c r="AD19" s="339"/>
      <c r="AE19" s="339"/>
      <c r="AF19" s="339"/>
      <c r="AG19" s="339"/>
      <c r="AH19" s="339"/>
      <c r="AI19" s="339"/>
      <c r="AJ19" s="339">
        <f>T19</f>
        <v>3697.5</v>
      </c>
      <c r="AK19" s="339"/>
      <c r="AL19" s="339"/>
      <c r="AM19" s="339"/>
      <c r="AN19" s="339"/>
      <c r="AO19" s="339"/>
      <c r="AP19" s="339"/>
      <c r="AQ19" s="339"/>
    </row>
    <row r="20" spans="2:43" ht="20" customHeight="1" x14ac:dyDescent="0.35">
      <c r="B20" s="341">
        <v>11.5</v>
      </c>
      <c r="C20" s="342"/>
      <c r="D20" s="342"/>
      <c r="E20" s="342"/>
      <c r="F20" s="343"/>
      <c r="G20" s="345" t="s">
        <v>337</v>
      </c>
      <c r="H20" s="346"/>
      <c r="I20" s="346"/>
      <c r="J20" s="346"/>
      <c r="K20" s="347"/>
      <c r="L20" s="331">
        <f>0.96*$L$19</f>
        <v>7099.2</v>
      </c>
      <c r="M20" s="332"/>
      <c r="N20" s="332"/>
      <c r="O20" s="332"/>
      <c r="P20" s="332"/>
      <c r="Q20" s="332"/>
      <c r="R20" s="332"/>
      <c r="S20" s="333"/>
      <c r="T20" s="331">
        <f>L20/2</f>
        <v>3549.6</v>
      </c>
      <c r="U20" s="332"/>
      <c r="V20" s="332"/>
      <c r="W20" s="332"/>
      <c r="X20" s="332"/>
      <c r="Y20" s="332"/>
      <c r="Z20" s="332"/>
      <c r="AA20" s="333"/>
      <c r="AB20" s="335">
        <f t="shared" ref="AB20:AB24" si="3">L20-T20</f>
        <v>3549.6</v>
      </c>
      <c r="AC20" s="335"/>
      <c r="AD20" s="335"/>
      <c r="AE20" s="335"/>
      <c r="AF20" s="335"/>
      <c r="AG20" s="335"/>
      <c r="AH20" s="335"/>
      <c r="AI20" s="335"/>
      <c r="AJ20" s="335">
        <f t="shared" ref="AJ20:AJ24" si="4">T20</f>
        <v>3549.6</v>
      </c>
      <c r="AK20" s="335"/>
      <c r="AL20" s="335"/>
      <c r="AM20" s="335"/>
      <c r="AN20" s="335"/>
      <c r="AO20" s="335"/>
      <c r="AP20" s="335"/>
      <c r="AQ20" s="335"/>
    </row>
    <row r="21" spans="2:43" ht="20" customHeight="1" x14ac:dyDescent="0.35">
      <c r="B21" s="341">
        <v>11</v>
      </c>
      <c r="C21" s="342"/>
      <c r="D21" s="342"/>
      <c r="E21" s="342"/>
      <c r="F21" s="343"/>
      <c r="G21" s="348"/>
      <c r="H21" s="349"/>
      <c r="I21" s="349"/>
      <c r="J21" s="349"/>
      <c r="K21" s="350"/>
      <c r="L21" s="331">
        <f>0.92*$L$19</f>
        <v>6803.4000000000005</v>
      </c>
      <c r="M21" s="332"/>
      <c r="N21" s="332"/>
      <c r="O21" s="332"/>
      <c r="P21" s="332"/>
      <c r="Q21" s="332"/>
      <c r="R21" s="332"/>
      <c r="S21" s="333"/>
      <c r="T21" s="331">
        <f t="shared" ref="T21:T25" si="5">L21/2</f>
        <v>3401.7000000000003</v>
      </c>
      <c r="U21" s="332"/>
      <c r="V21" s="332"/>
      <c r="W21" s="332"/>
      <c r="X21" s="332"/>
      <c r="Y21" s="332"/>
      <c r="Z21" s="332"/>
      <c r="AA21" s="333"/>
      <c r="AB21" s="335">
        <f t="shared" si="3"/>
        <v>3401.7000000000003</v>
      </c>
      <c r="AC21" s="335"/>
      <c r="AD21" s="335"/>
      <c r="AE21" s="335"/>
      <c r="AF21" s="335"/>
      <c r="AG21" s="335"/>
      <c r="AH21" s="335"/>
      <c r="AI21" s="335"/>
      <c r="AJ21" s="335">
        <f t="shared" si="4"/>
        <v>3401.7000000000003</v>
      </c>
      <c r="AK21" s="335"/>
      <c r="AL21" s="335"/>
      <c r="AM21" s="335"/>
      <c r="AN21" s="335"/>
      <c r="AO21" s="335"/>
      <c r="AP21" s="335"/>
      <c r="AQ21" s="335"/>
    </row>
    <row r="22" spans="2:43" ht="20" customHeight="1" x14ac:dyDescent="0.35">
      <c r="B22" s="341">
        <v>10.5</v>
      </c>
      <c r="C22" s="342"/>
      <c r="D22" s="342"/>
      <c r="E22" s="342"/>
      <c r="F22" s="343"/>
      <c r="G22" s="348"/>
      <c r="H22" s="349"/>
      <c r="I22" s="349"/>
      <c r="J22" s="349"/>
      <c r="K22" s="350"/>
      <c r="L22" s="331">
        <f>0.88*$L$19</f>
        <v>6507.6</v>
      </c>
      <c r="M22" s="332"/>
      <c r="N22" s="332"/>
      <c r="O22" s="332"/>
      <c r="P22" s="332"/>
      <c r="Q22" s="332"/>
      <c r="R22" s="332"/>
      <c r="S22" s="333"/>
      <c r="T22" s="331">
        <f t="shared" si="5"/>
        <v>3253.8</v>
      </c>
      <c r="U22" s="332"/>
      <c r="V22" s="332"/>
      <c r="W22" s="332"/>
      <c r="X22" s="332"/>
      <c r="Y22" s="332"/>
      <c r="Z22" s="332"/>
      <c r="AA22" s="333"/>
      <c r="AB22" s="335">
        <f t="shared" si="3"/>
        <v>3253.8</v>
      </c>
      <c r="AC22" s="335"/>
      <c r="AD22" s="335"/>
      <c r="AE22" s="335"/>
      <c r="AF22" s="335"/>
      <c r="AG22" s="335"/>
      <c r="AH22" s="335"/>
      <c r="AI22" s="335"/>
      <c r="AJ22" s="335">
        <f t="shared" si="4"/>
        <v>3253.8</v>
      </c>
      <c r="AK22" s="335"/>
      <c r="AL22" s="335"/>
      <c r="AM22" s="335"/>
      <c r="AN22" s="335"/>
      <c r="AO22" s="335"/>
      <c r="AP22" s="335"/>
      <c r="AQ22" s="335"/>
    </row>
    <row r="23" spans="2:43" ht="20" customHeight="1" x14ac:dyDescent="0.35">
      <c r="B23" s="341">
        <v>10</v>
      </c>
      <c r="C23" s="342"/>
      <c r="D23" s="342"/>
      <c r="E23" s="342"/>
      <c r="F23" s="343"/>
      <c r="G23" s="348"/>
      <c r="H23" s="349"/>
      <c r="I23" s="349"/>
      <c r="J23" s="349"/>
      <c r="K23" s="350"/>
      <c r="L23" s="331">
        <f>0.83*L19</f>
        <v>6137.8499999999995</v>
      </c>
      <c r="M23" s="332"/>
      <c r="N23" s="332"/>
      <c r="O23" s="332"/>
      <c r="P23" s="332"/>
      <c r="Q23" s="332"/>
      <c r="R23" s="332"/>
      <c r="S23" s="333"/>
      <c r="T23" s="331">
        <f t="shared" si="5"/>
        <v>3068.9249999999997</v>
      </c>
      <c r="U23" s="332"/>
      <c r="V23" s="332"/>
      <c r="W23" s="332"/>
      <c r="X23" s="332"/>
      <c r="Y23" s="332"/>
      <c r="Z23" s="332"/>
      <c r="AA23" s="333"/>
      <c r="AB23" s="335">
        <f t="shared" si="3"/>
        <v>3068.9249999999997</v>
      </c>
      <c r="AC23" s="335"/>
      <c r="AD23" s="335"/>
      <c r="AE23" s="335"/>
      <c r="AF23" s="335"/>
      <c r="AG23" s="335"/>
      <c r="AH23" s="335"/>
      <c r="AI23" s="335"/>
      <c r="AJ23" s="335">
        <f t="shared" si="4"/>
        <v>3068.9249999999997</v>
      </c>
      <c r="AK23" s="335"/>
      <c r="AL23" s="335"/>
      <c r="AM23" s="335"/>
      <c r="AN23" s="335"/>
      <c r="AO23" s="335"/>
      <c r="AP23" s="335"/>
      <c r="AQ23" s="335"/>
    </row>
    <row r="24" spans="2:43" ht="20" customHeight="1" x14ac:dyDescent="0.35">
      <c r="B24" s="341">
        <v>9.5</v>
      </c>
      <c r="C24" s="342"/>
      <c r="D24" s="342"/>
      <c r="E24" s="342"/>
      <c r="F24" s="343"/>
      <c r="G24" s="348"/>
      <c r="H24" s="349"/>
      <c r="I24" s="349"/>
      <c r="J24" s="349"/>
      <c r="K24" s="350"/>
      <c r="L24" s="331">
        <f>0.79*$L$19</f>
        <v>5842.05</v>
      </c>
      <c r="M24" s="332"/>
      <c r="N24" s="332"/>
      <c r="O24" s="332"/>
      <c r="P24" s="332"/>
      <c r="Q24" s="332"/>
      <c r="R24" s="332"/>
      <c r="S24" s="333"/>
      <c r="T24" s="331">
        <f t="shared" si="5"/>
        <v>2921.0250000000001</v>
      </c>
      <c r="U24" s="332"/>
      <c r="V24" s="332"/>
      <c r="W24" s="332"/>
      <c r="X24" s="332"/>
      <c r="Y24" s="332"/>
      <c r="Z24" s="332"/>
      <c r="AA24" s="333"/>
      <c r="AB24" s="335">
        <f t="shared" si="3"/>
        <v>2921.0250000000001</v>
      </c>
      <c r="AC24" s="335"/>
      <c r="AD24" s="335"/>
      <c r="AE24" s="335"/>
      <c r="AF24" s="335"/>
      <c r="AG24" s="335"/>
      <c r="AH24" s="335"/>
      <c r="AI24" s="335"/>
      <c r="AJ24" s="335">
        <f t="shared" si="4"/>
        <v>2921.0250000000001</v>
      </c>
      <c r="AK24" s="335"/>
      <c r="AL24" s="335"/>
      <c r="AM24" s="335"/>
      <c r="AN24" s="335"/>
      <c r="AO24" s="335"/>
      <c r="AP24" s="335"/>
      <c r="AQ24" s="335"/>
    </row>
    <row r="25" spans="2:43" ht="20" customHeight="1" x14ac:dyDescent="0.35">
      <c r="B25" s="344">
        <v>9</v>
      </c>
      <c r="C25" s="344"/>
      <c r="D25" s="344"/>
      <c r="E25" s="344"/>
      <c r="F25" s="344"/>
      <c r="G25" s="351"/>
      <c r="H25" s="352"/>
      <c r="I25" s="352"/>
      <c r="J25" s="352"/>
      <c r="K25" s="353"/>
      <c r="L25" s="335">
        <f>0.75*L19</f>
        <v>5546.25</v>
      </c>
      <c r="M25" s="335"/>
      <c r="N25" s="335"/>
      <c r="O25" s="335"/>
      <c r="P25" s="335"/>
      <c r="Q25" s="335"/>
      <c r="R25" s="335"/>
      <c r="S25" s="335"/>
      <c r="T25" s="331">
        <f t="shared" si="5"/>
        <v>2773.125</v>
      </c>
      <c r="U25" s="332"/>
      <c r="V25" s="332"/>
      <c r="W25" s="332"/>
      <c r="X25" s="332"/>
      <c r="Y25" s="332"/>
      <c r="Z25" s="332"/>
      <c r="AA25" s="333"/>
      <c r="AB25" s="335">
        <f>L25-T25</f>
        <v>2773.125</v>
      </c>
      <c r="AC25" s="335"/>
      <c r="AD25" s="335"/>
      <c r="AE25" s="335"/>
      <c r="AF25" s="335"/>
      <c r="AG25" s="335"/>
      <c r="AH25" s="335"/>
      <c r="AI25" s="335"/>
      <c r="AJ25" s="335">
        <f>T25</f>
        <v>2773.125</v>
      </c>
      <c r="AK25" s="335"/>
      <c r="AL25" s="335"/>
      <c r="AM25" s="335"/>
      <c r="AN25" s="335"/>
      <c r="AO25" s="335"/>
      <c r="AP25" s="335"/>
      <c r="AQ25" s="335"/>
    </row>
    <row r="26" spans="2:43" ht="20" customHeight="1" x14ac:dyDescent="0.35">
      <c r="B26" s="372">
        <v>8.5</v>
      </c>
      <c r="C26" s="372"/>
      <c r="D26" s="372"/>
      <c r="E26" s="372"/>
      <c r="F26" s="372"/>
      <c r="G26" s="354" t="s">
        <v>338</v>
      </c>
      <c r="H26" s="355"/>
      <c r="I26" s="355"/>
      <c r="J26" s="355"/>
      <c r="K26" s="356"/>
      <c r="L26" s="336">
        <f>0.71*$L$19</f>
        <v>5250.45</v>
      </c>
      <c r="M26" s="337"/>
      <c r="N26" s="337"/>
      <c r="O26" s="337"/>
      <c r="P26" s="337"/>
      <c r="Q26" s="337"/>
      <c r="R26" s="337"/>
      <c r="S26" s="338"/>
      <c r="T26" s="336">
        <f>L26/2</f>
        <v>2625.2249999999999</v>
      </c>
      <c r="U26" s="337"/>
      <c r="V26" s="337"/>
      <c r="W26" s="337"/>
      <c r="X26" s="337"/>
      <c r="Y26" s="337"/>
      <c r="Z26" s="337"/>
      <c r="AA26" s="338"/>
      <c r="AB26" s="334">
        <f t="shared" ref="AB26:AB30" si="6">L26-T26</f>
        <v>2625.2249999999999</v>
      </c>
      <c r="AC26" s="334"/>
      <c r="AD26" s="334"/>
      <c r="AE26" s="334"/>
      <c r="AF26" s="334"/>
      <c r="AG26" s="334"/>
      <c r="AH26" s="334"/>
      <c r="AI26" s="334"/>
      <c r="AJ26" s="334">
        <f t="shared" ref="AJ26:AJ30" si="7">T26</f>
        <v>2625.2249999999999</v>
      </c>
      <c r="AK26" s="334"/>
      <c r="AL26" s="334"/>
      <c r="AM26" s="334"/>
      <c r="AN26" s="334"/>
      <c r="AO26" s="334"/>
      <c r="AP26" s="334"/>
      <c r="AQ26" s="334"/>
    </row>
    <row r="27" spans="2:43" ht="20" customHeight="1" x14ac:dyDescent="0.35">
      <c r="B27" s="372">
        <v>8</v>
      </c>
      <c r="C27" s="372"/>
      <c r="D27" s="372"/>
      <c r="E27" s="372"/>
      <c r="F27" s="372"/>
      <c r="G27" s="357"/>
      <c r="H27" s="358"/>
      <c r="I27" s="358"/>
      <c r="J27" s="358"/>
      <c r="K27" s="359"/>
      <c r="L27" s="334">
        <f>0.67*L19</f>
        <v>4954.6500000000005</v>
      </c>
      <c r="M27" s="334"/>
      <c r="N27" s="334"/>
      <c r="O27" s="334"/>
      <c r="P27" s="334"/>
      <c r="Q27" s="334"/>
      <c r="R27" s="334"/>
      <c r="S27" s="334"/>
      <c r="T27" s="336">
        <f t="shared" ref="T27:T31" si="8">L27/2</f>
        <v>2477.3250000000003</v>
      </c>
      <c r="U27" s="337"/>
      <c r="V27" s="337"/>
      <c r="W27" s="337"/>
      <c r="X27" s="337"/>
      <c r="Y27" s="337"/>
      <c r="Z27" s="337"/>
      <c r="AA27" s="338"/>
      <c r="AB27" s="334">
        <f t="shared" si="6"/>
        <v>2477.3250000000003</v>
      </c>
      <c r="AC27" s="334"/>
      <c r="AD27" s="334"/>
      <c r="AE27" s="334"/>
      <c r="AF27" s="334"/>
      <c r="AG27" s="334"/>
      <c r="AH27" s="334"/>
      <c r="AI27" s="334"/>
      <c r="AJ27" s="334">
        <f t="shared" si="7"/>
        <v>2477.3250000000003</v>
      </c>
      <c r="AK27" s="334"/>
      <c r="AL27" s="334"/>
      <c r="AM27" s="334"/>
      <c r="AN27" s="334"/>
      <c r="AO27" s="334"/>
      <c r="AP27" s="334"/>
      <c r="AQ27" s="334"/>
    </row>
    <row r="28" spans="2:43" ht="20" customHeight="1" x14ac:dyDescent="0.35">
      <c r="B28" s="372">
        <v>7.5</v>
      </c>
      <c r="C28" s="372"/>
      <c r="D28" s="372"/>
      <c r="E28" s="372"/>
      <c r="F28" s="372"/>
      <c r="G28" s="357"/>
      <c r="H28" s="358"/>
      <c r="I28" s="358"/>
      <c r="J28" s="358"/>
      <c r="K28" s="359"/>
      <c r="L28" s="336">
        <f>0.63*$L$19</f>
        <v>4658.8500000000004</v>
      </c>
      <c r="M28" s="337"/>
      <c r="N28" s="337"/>
      <c r="O28" s="337"/>
      <c r="P28" s="337"/>
      <c r="Q28" s="337"/>
      <c r="R28" s="337"/>
      <c r="S28" s="338"/>
      <c r="T28" s="336">
        <f t="shared" si="8"/>
        <v>2329.4250000000002</v>
      </c>
      <c r="U28" s="337"/>
      <c r="V28" s="337"/>
      <c r="W28" s="337"/>
      <c r="X28" s="337"/>
      <c r="Y28" s="337"/>
      <c r="Z28" s="337"/>
      <c r="AA28" s="338"/>
      <c r="AB28" s="334">
        <f t="shared" si="6"/>
        <v>2329.4250000000002</v>
      </c>
      <c r="AC28" s="334"/>
      <c r="AD28" s="334"/>
      <c r="AE28" s="334"/>
      <c r="AF28" s="334"/>
      <c r="AG28" s="334"/>
      <c r="AH28" s="334"/>
      <c r="AI28" s="334"/>
      <c r="AJ28" s="334">
        <f t="shared" si="7"/>
        <v>2329.4250000000002</v>
      </c>
      <c r="AK28" s="334"/>
      <c r="AL28" s="334"/>
      <c r="AM28" s="334"/>
      <c r="AN28" s="334"/>
      <c r="AO28" s="334"/>
      <c r="AP28" s="334"/>
      <c r="AQ28" s="334"/>
    </row>
    <row r="29" spans="2:43" ht="20" customHeight="1" x14ac:dyDescent="0.35">
      <c r="B29" s="372">
        <v>7</v>
      </c>
      <c r="C29" s="372"/>
      <c r="D29" s="372"/>
      <c r="E29" s="372"/>
      <c r="F29" s="372"/>
      <c r="G29" s="357"/>
      <c r="H29" s="358"/>
      <c r="I29" s="358"/>
      <c r="J29" s="358"/>
      <c r="K29" s="359"/>
      <c r="L29" s="334">
        <f>0.58*L19</f>
        <v>4289.0999999999995</v>
      </c>
      <c r="M29" s="334"/>
      <c r="N29" s="334"/>
      <c r="O29" s="334"/>
      <c r="P29" s="334"/>
      <c r="Q29" s="334"/>
      <c r="R29" s="334"/>
      <c r="S29" s="334"/>
      <c r="T29" s="336">
        <f t="shared" si="8"/>
        <v>2144.5499999999997</v>
      </c>
      <c r="U29" s="337"/>
      <c r="V29" s="337"/>
      <c r="W29" s="337"/>
      <c r="X29" s="337"/>
      <c r="Y29" s="337"/>
      <c r="Z29" s="337"/>
      <c r="AA29" s="338"/>
      <c r="AB29" s="334">
        <f t="shared" si="6"/>
        <v>2144.5499999999997</v>
      </c>
      <c r="AC29" s="334"/>
      <c r="AD29" s="334"/>
      <c r="AE29" s="334"/>
      <c r="AF29" s="334"/>
      <c r="AG29" s="334"/>
      <c r="AH29" s="334"/>
      <c r="AI29" s="334"/>
      <c r="AJ29" s="334">
        <f t="shared" si="7"/>
        <v>2144.5499999999997</v>
      </c>
      <c r="AK29" s="334"/>
      <c r="AL29" s="334"/>
      <c r="AM29" s="334"/>
      <c r="AN29" s="334"/>
      <c r="AO29" s="334"/>
      <c r="AP29" s="334"/>
      <c r="AQ29" s="334"/>
    </row>
    <row r="30" spans="2:43" ht="20" customHeight="1" x14ac:dyDescent="0.35">
      <c r="B30" s="372">
        <v>6.5</v>
      </c>
      <c r="C30" s="372"/>
      <c r="D30" s="372"/>
      <c r="E30" s="372"/>
      <c r="F30" s="372"/>
      <c r="G30" s="357"/>
      <c r="H30" s="358"/>
      <c r="I30" s="358"/>
      <c r="J30" s="358"/>
      <c r="K30" s="359"/>
      <c r="L30" s="336">
        <f>0.54*$L$19</f>
        <v>3993.3</v>
      </c>
      <c r="M30" s="337"/>
      <c r="N30" s="337"/>
      <c r="O30" s="337"/>
      <c r="P30" s="337"/>
      <c r="Q30" s="337"/>
      <c r="R30" s="337"/>
      <c r="S30" s="338"/>
      <c r="T30" s="336">
        <f t="shared" si="8"/>
        <v>1996.65</v>
      </c>
      <c r="U30" s="337"/>
      <c r="V30" s="337"/>
      <c r="W30" s="337"/>
      <c r="X30" s="337"/>
      <c r="Y30" s="337"/>
      <c r="Z30" s="337"/>
      <c r="AA30" s="338"/>
      <c r="AB30" s="334">
        <f t="shared" si="6"/>
        <v>1996.65</v>
      </c>
      <c r="AC30" s="334"/>
      <c r="AD30" s="334"/>
      <c r="AE30" s="334"/>
      <c r="AF30" s="334"/>
      <c r="AG30" s="334"/>
      <c r="AH30" s="334"/>
      <c r="AI30" s="334"/>
      <c r="AJ30" s="334">
        <f t="shared" si="7"/>
        <v>1996.65</v>
      </c>
      <c r="AK30" s="334"/>
      <c r="AL30" s="334"/>
      <c r="AM30" s="334"/>
      <c r="AN30" s="334"/>
      <c r="AO30" s="334"/>
      <c r="AP30" s="334"/>
      <c r="AQ30" s="334"/>
    </row>
    <row r="31" spans="2:43" ht="20" customHeight="1" x14ac:dyDescent="0.35">
      <c r="B31" s="372">
        <v>6</v>
      </c>
      <c r="C31" s="372"/>
      <c r="D31" s="372"/>
      <c r="E31" s="372"/>
      <c r="F31" s="372"/>
      <c r="G31" s="360"/>
      <c r="H31" s="361"/>
      <c r="I31" s="361"/>
      <c r="J31" s="361"/>
      <c r="K31" s="362"/>
      <c r="L31" s="334">
        <f>0.5*L19</f>
        <v>3697.5</v>
      </c>
      <c r="M31" s="334"/>
      <c r="N31" s="334"/>
      <c r="O31" s="334"/>
      <c r="P31" s="334"/>
      <c r="Q31" s="334"/>
      <c r="R31" s="334"/>
      <c r="S31" s="334"/>
      <c r="T31" s="336">
        <f t="shared" si="8"/>
        <v>1848.75</v>
      </c>
      <c r="U31" s="337"/>
      <c r="V31" s="337"/>
      <c r="W31" s="337"/>
      <c r="X31" s="337"/>
      <c r="Y31" s="337"/>
      <c r="Z31" s="337"/>
      <c r="AA31" s="338"/>
      <c r="AB31" s="334">
        <f>L31-T31</f>
        <v>1848.75</v>
      </c>
      <c r="AC31" s="334"/>
      <c r="AD31" s="334"/>
      <c r="AE31" s="334"/>
      <c r="AF31" s="334"/>
      <c r="AG31" s="334"/>
      <c r="AH31" s="334"/>
      <c r="AI31" s="334"/>
      <c r="AJ31" s="334">
        <f>T31</f>
        <v>1848.75</v>
      </c>
      <c r="AK31" s="334"/>
      <c r="AL31" s="334"/>
      <c r="AM31" s="334"/>
      <c r="AN31" s="334"/>
      <c r="AO31" s="334"/>
      <c r="AP31" s="334"/>
      <c r="AQ31" s="334"/>
    </row>
    <row r="32" spans="2:43" ht="20" customHeight="1" x14ac:dyDescent="0.35">
      <c r="B32" s="340">
        <v>5.5</v>
      </c>
      <c r="C32" s="340"/>
      <c r="D32" s="340"/>
      <c r="E32" s="340"/>
      <c r="F32" s="340"/>
      <c r="G32" s="363" t="s">
        <v>339</v>
      </c>
      <c r="H32" s="364"/>
      <c r="I32" s="364"/>
      <c r="J32" s="364"/>
      <c r="K32" s="365"/>
      <c r="L32" s="328">
        <f>0.46*$L$19</f>
        <v>3401.7000000000003</v>
      </c>
      <c r="M32" s="329"/>
      <c r="N32" s="329"/>
      <c r="O32" s="329"/>
      <c r="P32" s="329"/>
      <c r="Q32" s="329"/>
      <c r="R32" s="329"/>
      <c r="S32" s="330"/>
      <c r="T32" s="328">
        <f>L32/2</f>
        <v>1700.8500000000001</v>
      </c>
      <c r="U32" s="329"/>
      <c r="V32" s="329"/>
      <c r="W32" s="329"/>
      <c r="X32" s="329"/>
      <c r="Y32" s="329"/>
      <c r="Z32" s="329"/>
      <c r="AA32" s="330"/>
      <c r="AB32" s="327">
        <f t="shared" ref="AB32:AB40" si="9">L32-T32</f>
        <v>1700.8500000000001</v>
      </c>
      <c r="AC32" s="327"/>
      <c r="AD32" s="327"/>
      <c r="AE32" s="327"/>
      <c r="AF32" s="327"/>
      <c r="AG32" s="327"/>
      <c r="AH32" s="327"/>
      <c r="AI32" s="327"/>
      <c r="AJ32" s="327">
        <f t="shared" ref="AJ32:AJ40" si="10">T32</f>
        <v>1700.8500000000001</v>
      </c>
      <c r="AK32" s="327"/>
      <c r="AL32" s="327"/>
      <c r="AM32" s="327"/>
      <c r="AN32" s="327"/>
      <c r="AO32" s="327"/>
      <c r="AP32" s="327"/>
      <c r="AQ32" s="327"/>
    </row>
    <row r="33" spans="2:43" ht="20" customHeight="1" x14ac:dyDescent="0.35">
      <c r="B33" s="340">
        <v>5</v>
      </c>
      <c r="C33" s="340"/>
      <c r="D33" s="340"/>
      <c r="E33" s="340"/>
      <c r="F33" s="340"/>
      <c r="G33" s="366"/>
      <c r="H33" s="367"/>
      <c r="I33" s="367"/>
      <c r="J33" s="367"/>
      <c r="K33" s="368"/>
      <c r="L33" s="327">
        <f>0.42*L19</f>
        <v>3105.9</v>
      </c>
      <c r="M33" s="327"/>
      <c r="N33" s="327"/>
      <c r="O33" s="327"/>
      <c r="P33" s="327"/>
      <c r="Q33" s="327"/>
      <c r="R33" s="327"/>
      <c r="S33" s="327"/>
      <c r="T33" s="328">
        <f t="shared" ref="T33:T42" si="11">L33/2</f>
        <v>1552.95</v>
      </c>
      <c r="U33" s="329"/>
      <c r="V33" s="329"/>
      <c r="W33" s="329"/>
      <c r="X33" s="329"/>
      <c r="Y33" s="329"/>
      <c r="Z33" s="329"/>
      <c r="AA33" s="330"/>
      <c r="AB33" s="327">
        <f t="shared" si="9"/>
        <v>1552.95</v>
      </c>
      <c r="AC33" s="327"/>
      <c r="AD33" s="327"/>
      <c r="AE33" s="327"/>
      <c r="AF33" s="327"/>
      <c r="AG33" s="327"/>
      <c r="AH33" s="327"/>
      <c r="AI33" s="327"/>
      <c r="AJ33" s="327">
        <f t="shared" si="10"/>
        <v>1552.95</v>
      </c>
      <c r="AK33" s="327"/>
      <c r="AL33" s="327"/>
      <c r="AM33" s="327"/>
      <c r="AN33" s="327"/>
      <c r="AO33" s="327"/>
      <c r="AP33" s="327"/>
      <c r="AQ33" s="327"/>
    </row>
    <row r="34" spans="2:43" ht="20" customHeight="1" x14ac:dyDescent="0.35">
      <c r="B34" s="340">
        <v>4.5</v>
      </c>
      <c r="C34" s="340"/>
      <c r="D34" s="340"/>
      <c r="E34" s="340"/>
      <c r="F34" s="340"/>
      <c r="G34" s="366"/>
      <c r="H34" s="367"/>
      <c r="I34" s="367"/>
      <c r="J34" s="367"/>
      <c r="K34" s="368"/>
      <c r="L34" s="328">
        <f>0.38*$L$19</f>
        <v>2810.1</v>
      </c>
      <c r="M34" s="329"/>
      <c r="N34" s="329"/>
      <c r="O34" s="329"/>
      <c r="P34" s="329"/>
      <c r="Q34" s="329"/>
      <c r="R34" s="329"/>
      <c r="S34" s="330"/>
      <c r="T34" s="328">
        <f t="shared" si="11"/>
        <v>1405.05</v>
      </c>
      <c r="U34" s="329"/>
      <c r="V34" s="329"/>
      <c r="W34" s="329"/>
      <c r="X34" s="329"/>
      <c r="Y34" s="329"/>
      <c r="Z34" s="329"/>
      <c r="AA34" s="330"/>
      <c r="AB34" s="327">
        <f t="shared" si="9"/>
        <v>1405.05</v>
      </c>
      <c r="AC34" s="327"/>
      <c r="AD34" s="327"/>
      <c r="AE34" s="327"/>
      <c r="AF34" s="327"/>
      <c r="AG34" s="327"/>
      <c r="AH34" s="327"/>
      <c r="AI34" s="327"/>
      <c r="AJ34" s="327">
        <f t="shared" si="10"/>
        <v>1405.05</v>
      </c>
      <c r="AK34" s="327"/>
      <c r="AL34" s="327"/>
      <c r="AM34" s="327"/>
      <c r="AN34" s="327"/>
      <c r="AO34" s="327"/>
      <c r="AP34" s="327"/>
      <c r="AQ34" s="327"/>
    </row>
    <row r="35" spans="2:43" ht="20" customHeight="1" x14ac:dyDescent="0.35">
      <c r="B35" s="340">
        <v>4</v>
      </c>
      <c r="C35" s="340"/>
      <c r="D35" s="340"/>
      <c r="E35" s="340"/>
      <c r="F35" s="340"/>
      <c r="G35" s="366"/>
      <c r="H35" s="367"/>
      <c r="I35" s="367"/>
      <c r="J35" s="367"/>
      <c r="K35" s="368"/>
      <c r="L35" s="327">
        <f>0.33*L19</f>
        <v>2440.35</v>
      </c>
      <c r="M35" s="327"/>
      <c r="N35" s="327"/>
      <c r="O35" s="327"/>
      <c r="P35" s="327"/>
      <c r="Q35" s="327"/>
      <c r="R35" s="327"/>
      <c r="S35" s="327"/>
      <c r="T35" s="328">
        <f t="shared" si="11"/>
        <v>1220.175</v>
      </c>
      <c r="U35" s="329"/>
      <c r="V35" s="329"/>
      <c r="W35" s="329"/>
      <c r="X35" s="329"/>
      <c r="Y35" s="329"/>
      <c r="Z35" s="329"/>
      <c r="AA35" s="330"/>
      <c r="AB35" s="327">
        <f t="shared" si="9"/>
        <v>1220.175</v>
      </c>
      <c r="AC35" s="327"/>
      <c r="AD35" s="327"/>
      <c r="AE35" s="327"/>
      <c r="AF35" s="327"/>
      <c r="AG35" s="327"/>
      <c r="AH35" s="327"/>
      <c r="AI35" s="327"/>
      <c r="AJ35" s="327">
        <f t="shared" si="10"/>
        <v>1220.175</v>
      </c>
      <c r="AK35" s="327"/>
      <c r="AL35" s="327"/>
      <c r="AM35" s="327"/>
      <c r="AN35" s="327"/>
      <c r="AO35" s="327"/>
      <c r="AP35" s="327"/>
      <c r="AQ35" s="327"/>
    </row>
    <row r="36" spans="2:43" ht="20" customHeight="1" x14ac:dyDescent="0.35">
      <c r="B36" s="340">
        <v>3.5</v>
      </c>
      <c r="C36" s="340"/>
      <c r="D36" s="340"/>
      <c r="E36" s="340"/>
      <c r="F36" s="340"/>
      <c r="G36" s="366"/>
      <c r="H36" s="367"/>
      <c r="I36" s="367"/>
      <c r="J36" s="367"/>
      <c r="K36" s="368"/>
      <c r="L36" s="328">
        <f>0.29*$L$19</f>
        <v>2144.5499999999997</v>
      </c>
      <c r="M36" s="329"/>
      <c r="N36" s="329"/>
      <c r="O36" s="329"/>
      <c r="P36" s="329"/>
      <c r="Q36" s="329"/>
      <c r="R36" s="329"/>
      <c r="S36" s="330"/>
      <c r="T36" s="328">
        <f t="shared" si="11"/>
        <v>1072.2749999999999</v>
      </c>
      <c r="U36" s="329"/>
      <c r="V36" s="329"/>
      <c r="W36" s="329"/>
      <c r="X36" s="329"/>
      <c r="Y36" s="329"/>
      <c r="Z36" s="329"/>
      <c r="AA36" s="330"/>
      <c r="AB36" s="327">
        <f t="shared" si="9"/>
        <v>1072.2749999999999</v>
      </c>
      <c r="AC36" s="327"/>
      <c r="AD36" s="327"/>
      <c r="AE36" s="327"/>
      <c r="AF36" s="327"/>
      <c r="AG36" s="327"/>
      <c r="AH36" s="327"/>
      <c r="AI36" s="327"/>
      <c r="AJ36" s="327">
        <f t="shared" si="10"/>
        <v>1072.2749999999999</v>
      </c>
      <c r="AK36" s="327"/>
      <c r="AL36" s="327"/>
      <c r="AM36" s="327"/>
      <c r="AN36" s="327"/>
      <c r="AO36" s="327"/>
      <c r="AP36" s="327"/>
      <c r="AQ36" s="327"/>
    </row>
    <row r="37" spans="2:43" ht="20" customHeight="1" x14ac:dyDescent="0.35">
      <c r="B37" s="340">
        <v>3</v>
      </c>
      <c r="C37" s="340"/>
      <c r="D37" s="340"/>
      <c r="E37" s="340"/>
      <c r="F37" s="340"/>
      <c r="G37" s="366"/>
      <c r="H37" s="367"/>
      <c r="I37" s="367"/>
      <c r="J37" s="367"/>
      <c r="K37" s="368"/>
      <c r="L37" s="327">
        <f>0.25*L19</f>
        <v>1848.75</v>
      </c>
      <c r="M37" s="327"/>
      <c r="N37" s="327"/>
      <c r="O37" s="327"/>
      <c r="P37" s="327"/>
      <c r="Q37" s="327"/>
      <c r="R37" s="327"/>
      <c r="S37" s="327"/>
      <c r="T37" s="328">
        <f t="shared" si="11"/>
        <v>924.375</v>
      </c>
      <c r="U37" s="329"/>
      <c r="V37" s="329"/>
      <c r="W37" s="329"/>
      <c r="X37" s="329"/>
      <c r="Y37" s="329"/>
      <c r="Z37" s="329"/>
      <c r="AA37" s="330"/>
      <c r="AB37" s="327">
        <f t="shared" si="9"/>
        <v>924.375</v>
      </c>
      <c r="AC37" s="327"/>
      <c r="AD37" s="327"/>
      <c r="AE37" s="327"/>
      <c r="AF37" s="327"/>
      <c r="AG37" s="327"/>
      <c r="AH37" s="327"/>
      <c r="AI37" s="327"/>
      <c r="AJ37" s="327">
        <f t="shared" si="10"/>
        <v>924.375</v>
      </c>
      <c r="AK37" s="327"/>
      <c r="AL37" s="327"/>
      <c r="AM37" s="327"/>
      <c r="AN37" s="327"/>
      <c r="AO37" s="327"/>
      <c r="AP37" s="327"/>
      <c r="AQ37" s="327"/>
    </row>
    <row r="38" spans="2:43" ht="20" customHeight="1" x14ac:dyDescent="0.35">
      <c r="B38" s="340">
        <v>2.5</v>
      </c>
      <c r="C38" s="340"/>
      <c r="D38" s="340"/>
      <c r="E38" s="340"/>
      <c r="F38" s="340"/>
      <c r="G38" s="366"/>
      <c r="H38" s="367"/>
      <c r="I38" s="367"/>
      <c r="J38" s="367"/>
      <c r="K38" s="368"/>
      <c r="L38" s="328">
        <f>0.21*$L$19</f>
        <v>1552.95</v>
      </c>
      <c r="M38" s="329"/>
      <c r="N38" s="329"/>
      <c r="O38" s="329"/>
      <c r="P38" s="329"/>
      <c r="Q38" s="329"/>
      <c r="R38" s="329"/>
      <c r="S38" s="330"/>
      <c r="T38" s="328">
        <f t="shared" si="11"/>
        <v>776.47500000000002</v>
      </c>
      <c r="U38" s="329"/>
      <c r="V38" s="329"/>
      <c r="W38" s="329"/>
      <c r="X38" s="329"/>
      <c r="Y38" s="329"/>
      <c r="Z38" s="329"/>
      <c r="AA38" s="330"/>
      <c r="AB38" s="327">
        <f t="shared" si="9"/>
        <v>776.47500000000002</v>
      </c>
      <c r="AC38" s="327"/>
      <c r="AD38" s="327"/>
      <c r="AE38" s="327"/>
      <c r="AF38" s="327"/>
      <c r="AG38" s="327"/>
      <c r="AH38" s="327"/>
      <c r="AI38" s="327"/>
      <c r="AJ38" s="327">
        <f t="shared" si="10"/>
        <v>776.47500000000002</v>
      </c>
      <c r="AK38" s="327"/>
      <c r="AL38" s="327"/>
      <c r="AM38" s="327"/>
      <c r="AN38" s="327"/>
      <c r="AO38" s="327"/>
      <c r="AP38" s="327"/>
      <c r="AQ38" s="327"/>
    </row>
    <row r="39" spans="2:43" ht="20" customHeight="1" x14ac:dyDescent="0.35">
      <c r="B39" s="340">
        <v>2</v>
      </c>
      <c r="C39" s="340"/>
      <c r="D39" s="340"/>
      <c r="E39" s="340"/>
      <c r="F39" s="340"/>
      <c r="G39" s="366"/>
      <c r="H39" s="367"/>
      <c r="I39" s="367"/>
      <c r="J39" s="367"/>
      <c r="K39" s="368"/>
      <c r="L39" s="327">
        <f>0.17*L19</f>
        <v>1257.1500000000001</v>
      </c>
      <c r="M39" s="327"/>
      <c r="N39" s="327"/>
      <c r="O39" s="327"/>
      <c r="P39" s="327"/>
      <c r="Q39" s="327"/>
      <c r="R39" s="327"/>
      <c r="S39" s="327"/>
      <c r="T39" s="328">
        <f t="shared" si="11"/>
        <v>628.57500000000005</v>
      </c>
      <c r="U39" s="329"/>
      <c r="V39" s="329"/>
      <c r="W39" s="329"/>
      <c r="X39" s="329"/>
      <c r="Y39" s="329"/>
      <c r="Z39" s="329"/>
      <c r="AA39" s="330"/>
      <c r="AB39" s="327">
        <f t="shared" si="9"/>
        <v>628.57500000000005</v>
      </c>
      <c r="AC39" s="327"/>
      <c r="AD39" s="327"/>
      <c r="AE39" s="327"/>
      <c r="AF39" s="327"/>
      <c r="AG39" s="327"/>
      <c r="AH39" s="327"/>
      <c r="AI39" s="327"/>
      <c r="AJ39" s="327">
        <f t="shared" si="10"/>
        <v>628.57500000000005</v>
      </c>
      <c r="AK39" s="327"/>
      <c r="AL39" s="327"/>
      <c r="AM39" s="327"/>
      <c r="AN39" s="327"/>
      <c r="AO39" s="327"/>
      <c r="AP39" s="327"/>
      <c r="AQ39" s="327"/>
    </row>
    <row r="40" spans="2:43" ht="20" customHeight="1" x14ac:dyDescent="0.35">
      <c r="B40" s="340">
        <v>1.5</v>
      </c>
      <c r="C40" s="340"/>
      <c r="D40" s="340"/>
      <c r="E40" s="340"/>
      <c r="F40" s="340"/>
      <c r="G40" s="366"/>
      <c r="H40" s="367"/>
      <c r="I40" s="367"/>
      <c r="J40" s="367"/>
      <c r="K40" s="368"/>
      <c r="L40" s="328">
        <f>0.13*$L$19</f>
        <v>961.35</v>
      </c>
      <c r="M40" s="329"/>
      <c r="N40" s="329"/>
      <c r="O40" s="329"/>
      <c r="P40" s="329"/>
      <c r="Q40" s="329"/>
      <c r="R40" s="329"/>
      <c r="S40" s="330"/>
      <c r="T40" s="328">
        <f t="shared" si="11"/>
        <v>480.67500000000001</v>
      </c>
      <c r="U40" s="329"/>
      <c r="V40" s="329"/>
      <c r="W40" s="329"/>
      <c r="X40" s="329"/>
      <c r="Y40" s="329"/>
      <c r="Z40" s="329"/>
      <c r="AA40" s="330"/>
      <c r="AB40" s="327">
        <f t="shared" si="9"/>
        <v>480.67500000000001</v>
      </c>
      <c r="AC40" s="327"/>
      <c r="AD40" s="327"/>
      <c r="AE40" s="327"/>
      <c r="AF40" s="327"/>
      <c r="AG40" s="327"/>
      <c r="AH40" s="327"/>
      <c r="AI40" s="327"/>
      <c r="AJ40" s="327">
        <f t="shared" si="10"/>
        <v>480.67500000000001</v>
      </c>
      <c r="AK40" s="327"/>
      <c r="AL40" s="327"/>
      <c r="AM40" s="327"/>
      <c r="AN40" s="327"/>
      <c r="AO40" s="327"/>
      <c r="AP40" s="327"/>
      <c r="AQ40" s="327"/>
    </row>
    <row r="41" spans="2:43" ht="20" customHeight="1" x14ac:dyDescent="0.35">
      <c r="B41" s="340">
        <v>1</v>
      </c>
      <c r="C41" s="340"/>
      <c r="D41" s="340"/>
      <c r="E41" s="340"/>
      <c r="F41" s="340"/>
      <c r="G41" s="366"/>
      <c r="H41" s="367"/>
      <c r="I41" s="367"/>
      <c r="J41" s="367"/>
      <c r="K41" s="368"/>
      <c r="L41" s="327">
        <f>0.08*L19</f>
        <v>591.6</v>
      </c>
      <c r="M41" s="327"/>
      <c r="N41" s="327"/>
      <c r="O41" s="327"/>
      <c r="P41" s="327"/>
      <c r="Q41" s="327"/>
      <c r="R41" s="327"/>
      <c r="S41" s="327"/>
      <c r="T41" s="328">
        <f t="shared" si="11"/>
        <v>295.8</v>
      </c>
      <c r="U41" s="329"/>
      <c r="V41" s="329"/>
      <c r="W41" s="329"/>
      <c r="X41" s="329"/>
      <c r="Y41" s="329"/>
      <c r="Z41" s="329"/>
      <c r="AA41" s="330"/>
      <c r="AB41" s="327">
        <f>L41-T41</f>
        <v>295.8</v>
      </c>
      <c r="AC41" s="327"/>
      <c r="AD41" s="327"/>
      <c r="AE41" s="327"/>
      <c r="AF41" s="327"/>
      <c r="AG41" s="327"/>
      <c r="AH41" s="327"/>
      <c r="AI41" s="327"/>
      <c r="AJ41" s="327">
        <f>T41</f>
        <v>295.8</v>
      </c>
      <c r="AK41" s="327"/>
      <c r="AL41" s="327"/>
      <c r="AM41" s="327"/>
      <c r="AN41" s="327"/>
      <c r="AO41" s="327"/>
      <c r="AP41" s="327"/>
      <c r="AQ41" s="327"/>
    </row>
    <row r="42" spans="2:43" ht="20" customHeight="1" x14ac:dyDescent="0.35">
      <c r="B42" s="340">
        <v>0.5</v>
      </c>
      <c r="C42" s="340"/>
      <c r="D42" s="340"/>
      <c r="E42" s="340"/>
      <c r="F42" s="340"/>
      <c r="G42" s="369"/>
      <c r="H42" s="370"/>
      <c r="I42" s="370"/>
      <c r="J42" s="370"/>
      <c r="K42" s="371"/>
      <c r="L42" s="328">
        <f>0.04*$L$19</f>
        <v>295.8</v>
      </c>
      <c r="M42" s="329"/>
      <c r="N42" s="329"/>
      <c r="O42" s="329"/>
      <c r="P42" s="329"/>
      <c r="Q42" s="329"/>
      <c r="R42" s="329"/>
      <c r="S42" s="330"/>
      <c r="T42" s="328">
        <f t="shared" si="11"/>
        <v>147.9</v>
      </c>
      <c r="U42" s="329"/>
      <c r="V42" s="329"/>
      <c r="W42" s="329"/>
      <c r="X42" s="329"/>
      <c r="Y42" s="329"/>
      <c r="Z42" s="329"/>
      <c r="AA42" s="330"/>
      <c r="AB42" s="327">
        <f t="shared" ref="AB42" si="12">L42-T42</f>
        <v>147.9</v>
      </c>
      <c r="AC42" s="327"/>
      <c r="AD42" s="327"/>
      <c r="AE42" s="327"/>
      <c r="AF42" s="327"/>
      <c r="AG42" s="327"/>
      <c r="AH42" s="327"/>
      <c r="AI42" s="327"/>
      <c r="AJ42" s="327">
        <f t="shared" ref="AJ42" si="13">T42</f>
        <v>147.9</v>
      </c>
      <c r="AK42" s="327"/>
      <c r="AL42" s="327"/>
      <c r="AM42" s="327"/>
      <c r="AN42" s="327"/>
      <c r="AO42" s="327"/>
      <c r="AP42" s="327"/>
      <c r="AQ42" s="327"/>
    </row>
    <row r="44" spans="2:43" x14ac:dyDescent="0.35">
      <c r="B44" t="s">
        <v>342</v>
      </c>
    </row>
  </sheetData>
  <mergeCells count="174">
    <mergeCell ref="T42:AA42"/>
    <mergeCell ref="AB42:AI42"/>
    <mergeCell ref="AJ42:AQ42"/>
    <mergeCell ref="B40:F40"/>
    <mergeCell ref="L40:S40"/>
    <mergeCell ref="T40:AA40"/>
    <mergeCell ref="AB40:AI40"/>
    <mergeCell ref="AJ40:AQ40"/>
    <mergeCell ref="AJ22:AQ22"/>
    <mergeCell ref="B24:F24"/>
    <mergeCell ref="L24:S24"/>
    <mergeCell ref="T24:AA24"/>
    <mergeCell ref="L22:S22"/>
    <mergeCell ref="T22:AA22"/>
    <mergeCell ref="AB22:AI22"/>
    <mergeCell ref="AB24:AI24"/>
    <mergeCell ref="AJ24:AQ24"/>
    <mergeCell ref="B30:F30"/>
    <mergeCell ref="L30:S30"/>
    <mergeCell ref="T30:AA30"/>
    <mergeCell ref="AB30:AI30"/>
    <mergeCell ref="AJ30:AQ30"/>
    <mergeCell ref="B28:F28"/>
    <mergeCell ref="L28:S28"/>
    <mergeCell ref="AH9:AM10"/>
    <mergeCell ref="AO11:AT12"/>
    <mergeCell ref="T28:AA28"/>
    <mergeCell ref="AB28:AI28"/>
    <mergeCell ref="AJ28:AQ28"/>
    <mergeCell ref="B26:F26"/>
    <mergeCell ref="L26:S26"/>
    <mergeCell ref="T26:AA26"/>
    <mergeCell ref="AB26:AI26"/>
    <mergeCell ref="AJ26:AQ26"/>
    <mergeCell ref="B27:F27"/>
    <mergeCell ref="L27:S27"/>
    <mergeCell ref="B10:F10"/>
    <mergeCell ref="G11:K12"/>
    <mergeCell ref="B11:F12"/>
    <mergeCell ref="L19:S19"/>
    <mergeCell ref="T19:AA19"/>
    <mergeCell ref="T21:AA21"/>
    <mergeCell ref="T9:X10"/>
    <mergeCell ref="T11:X12"/>
    <mergeCell ref="AB18:AI18"/>
    <mergeCell ref="AO9:AT10"/>
    <mergeCell ref="T18:AA18"/>
    <mergeCell ref="AB20:AI20"/>
    <mergeCell ref="AO3:AS4"/>
    <mergeCell ref="AO5:AS6"/>
    <mergeCell ref="W3:AA4"/>
    <mergeCell ref="AC3:AG4"/>
    <mergeCell ref="AC5:AG6"/>
    <mergeCell ref="C3:I4"/>
    <mergeCell ref="C5:I6"/>
    <mergeCell ref="K5:U6"/>
    <mergeCell ref="K3:U4"/>
    <mergeCell ref="L41:S41"/>
    <mergeCell ref="L39:S39"/>
    <mergeCell ref="L37:S37"/>
    <mergeCell ref="L35:S35"/>
    <mergeCell ref="L33:S33"/>
    <mergeCell ref="L31:S31"/>
    <mergeCell ref="L29:S29"/>
    <mergeCell ref="B38:F38"/>
    <mergeCell ref="L38:S38"/>
    <mergeCell ref="B36:F36"/>
    <mergeCell ref="L36:S36"/>
    <mergeCell ref="B34:F34"/>
    <mergeCell ref="L34:S34"/>
    <mergeCell ref="B32:F32"/>
    <mergeCell ref="L32:S32"/>
    <mergeCell ref="G26:K31"/>
    <mergeCell ref="G32:K42"/>
    <mergeCell ref="B42:F42"/>
    <mergeCell ref="L42:S42"/>
    <mergeCell ref="B41:F41"/>
    <mergeCell ref="B29:F29"/>
    <mergeCell ref="B31:F31"/>
    <mergeCell ref="B33:F33"/>
    <mergeCell ref="B35:F35"/>
    <mergeCell ref="B37:F37"/>
    <mergeCell ref="B39:F39"/>
    <mergeCell ref="B21:F21"/>
    <mergeCell ref="B23:F23"/>
    <mergeCell ref="B25:F25"/>
    <mergeCell ref="B20:F20"/>
    <mergeCell ref="B22:F22"/>
    <mergeCell ref="G20:K25"/>
    <mergeCell ref="L21:S21"/>
    <mergeCell ref="L25:S25"/>
    <mergeCell ref="L20:S20"/>
    <mergeCell ref="AJ20:AQ20"/>
    <mergeCell ref="AJ29:AQ29"/>
    <mergeCell ref="AJ31:AQ31"/>
    <mergeCell ref="T27:AA27"/>
    <mergeCell ref="T29:AA29"/>
    <mergeCell ref="T31:AA31"/>
    <mergeCell ref="B15:AQ15"/>
    <mergeCell ref="AJ16:AQ16"/>
    <mergeCell ref="AJ19:AQ19"/>
    <mergeCell ref="AJ21:AQ21"/>
    <mergeCell ref="AB16:AI16"/>
    <mergeCell ref="AB19:AI19"/>
    <mergeCell ref="AB21:AI21"/>
    <mergeCell ref="AB17:AI17"/>
    <mergeCell ref="AJ17:AQ17"/>
    <mergeCell ref="B18:F18"/>
    <mergeCell ref="L18:S18"/>
    <mergeCell ref="AB25:AI25"/>
    <mergeCell ref="AJ18:AQ18"/>
    <mergeCell ref="G10:K10"/>
    <mergeCell ref="T33:AA33"/>
    <mergeCell ref="T35:AA35"/>
    <mergeCell ref="T37:AA37"/>
    <mergeCell ref="L23:S23"/>
    <mergeCell ref="T23:AA23"/>
    <mergeCell ref="T25:AA25"/>
    <mergeCell ref="AB34:AI34"/>
    <mergeCell ref="AJ34:AQ34"/>
    <mergeCell ref="T32:AA32"/>
    <mergeCell ref="AB32:AI32"/>
    <mergeCell ref="AJ32:AQ32"/>
    <mergeCell ref="AB31:AI31"/>
    <mergeCell ref="AB33:AI33"/>
    <mergeCell ref="AJ33:AQ33"/>
    <mergeCell ref="AJ35:AQ35"/>
    <mergeCell ref="AJ37:AQ37"/>
    <mergeCell ref="AJ23:AQ23"/>
    <mergeCell ref="AJ25:AQ25"/>
    <mergeCell ref="AJ27:AQ27"/>
    <mergeCell ref="AB23:AI23"/>
    <mergeCell ref="AB27:AI27"/>
    <mergeCell ref="AB29:AI29"/>
    <mergeCell ref="T20:AA20"/>
    <mergeCell ref="AJ39:AQ39"/>
    <mergeCell ref="T38:AA38"/>
    <mergeCell ref="AB38:AI38"/>
    <mergeCell ref="AJ38:AQ38"/>
    <mergeCell ref="T36:AA36"/>
    <mergeCell ref="AB36:AI36"/>
    <mergeCell ref="AJ36:AQ36"/>
    <mergeCell ref="T34:AA34"/>
    <mergeCell ref="AJ41:AQ41"/>
    <mergeCell ref="AB35:AI35"/>
    <mergeCell ref="AB37:AI37"/>
    <mergeCell ref="AB39:AI39"/>
    <mergeCell ref="AB41:AI41"/>
    <mergeCell ref="T41:AA41"/>
    <mergeCell ref="T39:AA39"/>
    <mergeCell ref="BA2:BF3"/>
    <mergeCell ref="L16:S16"/>
    <mergeCell ref="T16:AA16"/>
    <mergeCell ref="B19:F19"/>
    <mergeCell ref="B16:K16"/>
    <mergeCell ref="B17:F17"/>
    <mergeCell ref="L17:S17"/>
    <mergeCell ref="T17:AA17"/>
    <mergeCell ref="AU3:AY4"/>
    <mergeCell ref="AU5:AY6"/>
    <mergeCell ref="AA11:AF12"/>
    <mergeCell ref="AI3:AM4"/>
    <mergeCell ref="AI5:AM6"/>
    <mergeCell ref="AA9:AF10"/>
    <mergeCell ref="AH11:AM12"/>
    <mergeCell ref="W5:AA6"/>
    <mergeCell ref="BC9:BH10"/>
    <mergeCell ref="BC11:BH12"/>
    <mergeCell ref="M11:Q12"/>
    <mergeCell ref="M9:Q10"/>
    <mergeCell ref="G17:K19"/>
    <mergeCell ref="AV9:BA10"/>
    <mergeCell ref="AV11:BA12"/>
    <mergeCell ref="B9:K9"/>
  </mergeCells>
  <pageMargins left="0.7" right="0.7" top="0.75" bottom="0.75" header="0.3" footer="0.3"/>
  <pageSetup scale="5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4AE55AE-D5A2-49CE-947A-37EAE13E44DD}">
          <x14:formula1>
            <xm:f>'Dropdown Menus'!$A$13:$A$14</xm:f>
          </x14:formula1>
          <xm:sqref>C5:I6</xm:sqref>
        </x14:dataValidation>
        <x14:dataValidation type="list" allowBlank="1" showInputMessage="1" showErrorMessage="1" xr:uid="{F1C7CC67-F11E-4170-ADF1-9857AA4FC2AD}">
          <x14:formula1>
            <xm:f>'Dropdown Menus'!$A$16:$A$18</xm:f>
          </x14:formula1>
          <xm:sqref>K5</xm:sqref>
        </x14:dataValidation>
        <x14:dataValidation type="list" allowBlank="1" showInputMessage="1" showErrorMessage="1" xr:uid="{C63634F6-C923-4F3C-81D4-836C7603B78F}">
          <x14:formula1>
            <xm:f>'Dropdown Menus'!$A$7:$A$8</xm:f>
          </x14:formula1>
          <xm:sqref>W5:AA6 AC5:AG6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5DE3-7081-43DB-B63C-D52E756099AE}">
  <dimension ref="A1:A73"/>
  <sheetViews>
    <sheetView workbookViewId="0"/>
  </sheetViews>
  <sheetFormatPr defaultRowHeight="14.5" x14ac:dyDescent="0.35"/>
  <cols>
    <col min="11" max="11" width="8.6328125" customWidth="1"/>
  </cols>
  <sheetData>
    <row r="1" spans="1:1" x14ac:dyDescent="0.35">
      <c r="A1" t="s">
        <v>299</v>
      </c>
    </row>
    <row r="2" spans="1:1" x14ac:dyDescent="0.35">
      <c r="A2" t="s">
        <v>300</v>
      </c>
    </row>
    <row r="3" spans="1:1" x14ac:dyDescent="0.35">
      <c r="A3" t="s">
        <v>301</v>
      </c>
    </row>
    <row r="4" spans="1:1" x14ac:dyDescent="0.35">
      <c r="A4" t="s">
        <v>298</v>
      </c>
    </row>
    <row r="5" spans="1:1" x14ac:dyDescent="0.35">
      <c r="A5" t="s">
        <v>302</v>
      </c>
    </row>
    <row r="7" spans="1:1" x14ac:dyDescent="0.35">
      <c r="A7" t="s">
        <v>304</v>
      </c>
    </row>
    <row r="8" spans="1:1" x14ac:dyDescent="0.35">
      <c r="A8" t="s">
        <v>305</v>
      </c>
    </row>
    <row r="10" spans="1:1" x14ac:dyDescent="0.35">
      <c r="A10" t="s">
        <v>306</v>
      </c>
    </row>
    <row r="11" spans="1:1" x14ac:dyDescent="0.35">
      <c r="A11" t="s">
        <v>307</v>
      </c>
    </row>
    <row r="13" spans="1:1" x14ac:dyDescent="0.35">
      <c r="A13" t="s">
        <v>314</v>
      </c>
    </row>
    <row r="14" spans="1:1" x14ac:dyDescent="0.35">
      <c r="A14" t="s">
        <v>313</v>
      </c>
    </row>
    <row r="16" spans="1:1" x14ac:dyDescent="0.35">
      <c r="A16" t="s">
        <v>326</v>
      </c>
    </row>
    <row r="17" spans="1:1" x14ac:dyDescent="0.35">
      <c r="A17" t="s">
        <v>318</v>
      </c>
    </row>
    <row r="18" spans="1:1" x14ac:dyDescent="0.35">
      <c r="A18" t="s">
        <v>317</v>
      </c>
    </row>
    <row r="20" spans="1:1" x14ac:dyDescent="0.35">
      <c r="A20" t="s">
        <v>390</v>
      </c>
    </row>
    <row r="21" spans="1:1" x14ac:dyDescent="0.35">
      <c r="A21" t="s">
        <v>391</v>
      </c>
    </row>
    <row r="23" spans="1:1" x14ac:dyDescent="0.35">
      <c r="A23" t="s">
        <v>392</v>
      </c>
    </row>
    <row r="24" spans="1:1" x14ac:dyDescent="0.35">
      <c r="A24" t="s">
        <v>393</v>
      </c>
    </row>
    <row r="25" spans="1:1" x14ac:dyDescent="0.35">
      <c r="A25" t="s">
        <v>394</v>
      </c>
    </row>
    <row r="26" spans="1:1" x14ac:dyDescent="0.35">
      <c r="A26" t="s">
        <v>395</v>
      </c>
    </row>
    <row r="27" spans="1:1" x14ac:dyDescent="0.35">
      <c r="A27" t="s">
        <v>396</v>
      </c>
    </row>
    <row r="28" spans="1:1" x14ac:dyDescent="0.35">
      <c r="A28" t="s">
        <v>397</v>
      </c>
    </row>
    <row r="29" spans="1:1" x14ac:dyDescent="0.35">
      <c r="A29" t="s">
        <v>398</v>
      </c>
    </row>
    <row r="30" spans="1:1" x14ac:dyDescent="0.35">
      <c r="A30" t="s">
        <v>399</v>
      </c>
    </row>
    <row r="31" spans="1:1" x14ac:dyDescent="0.35">
      <c r="A31" t="s">
        <v>400</v>
      </c>
    </row>
    <row r="32" spans="1:1" x14ac:dyDescent="0.35">
      <c r="A32" t="s">
        <v>401</v>
      </c>
    </row>
    <row r="33" spans="1:1" x14ac:dyDescent="0.35">
      <c r="A33" t="s">
        <v>402</v>
      </c>
    </row>
    <row r="34" spans="1:1" x14ac:dyDescent="0.35">
      <c r="A34" t="s">
        <v>403</v>
      </c>
    </row>
    <row r="35" spans="1:1" x14ac:dyDescent="0.35">
      <c r="A35" t="s">
        <v>404</v>
      </c>
    </row>
    <row r="36" spans="1:1" x14ac:dyDescent="0.35">
      <c r="A36" t="s">
        <v>405</v>
      </c>
    </row>
    <row r="37" spans="1:1" x14ac:dyDescent="0.35">
      <c r="A37" t="s">
        <v>406</v>
      </c>
    </row>
    <row r="38" spans="1:1" x14ac:dyDescent="0.35">
      <c r="A38" t="s">
        <v>407</v>
      </c>
    </row>
    <row r="39" spans="1:1" x14ac:dyDescent="0.35">
      <c r="A39" t="s">
        <v>408</v>
      </c>
    </row>
    <row r="40" spans="1:1" x14ac:dyDescent="0.35">
      <c r="A40" t="s">
        <v>409</v>
      </c>
    </row>
    <row r="41" spans="1:1" x14ac:dyDescent="0.35">
      <c r="A41" t="s">
        <v>410</v>
      </c>
    </row>
    <row r="42" spans="1:1" x14ac:dyDescent="0.35">
      <c r="A42" t="s">
        <v>411</v>
      </c>
    </row>
    <row r="43" spans="1:1" x14ac:dyDescent="0.35">
      <c r="A43" t="s">
        <v>412</v>
      </c>
    </row>
    <row r="44" spans="1:1" x14ac:dyDescent="0.35">
      <c r="A44" t="s">
        <v>413</v>
      </c>
    </row>
    <row r="45" spans="1:1" x14ac:dyDescent="0.35">
      <c r="A45" t="s">
        <v>414</v>
      </c>
    </row>
    <row r="46" spans="1:1" x14ac:dyDescent="0.35">
      <c r="A46" t="s">
        <v>415</v>
      </c>
    </row>
    <row r="47" spans="1:1" x14ac:dyDescent="0.35">
      <c r="A47" t="s">
        <v>416</v>
      </c>
    </row>
    <row r="48" spans="1:1" x14ac:dyDescent="0.35">
      <c r="A48" t="s">
        <v>417</v>
      </c>
    </row>
    <row r="49" spans="1:1" x14ac:dyDescent="0.35">
      <c r="A49" t="s">
        <v>418</v>
      </c>
    </row>
    <row r="50" spans="1:1" x14ac:dyDescent="0.35">
      <c r="A50" t="s">
        <v>419</v>
      </c>
    </row>
    <row r="51" spans="1:1" x14ac:dyDescent="0.35">
      <c r="A51" t="s">
        <v>420</v>
      </c>
    </row>
    <row r="52" spans="1:1" x14ac:dyDescent="0.35">
      <c r="A52" t="s">
        <v>421</v>
      </c>
    </row>
    <row r="53" spans="1:1" x14ac:dyDescent="0.35">
      <c r="A53" t="s">
        <v>422</v>
      </c>
    </row>
    <row r="54" spans="1:1" x14ac:dyDescent="0.35">
      <c r="A54" t="s">
        <v>423</v>
      </c>
    </row>
    <row r="55" spans="1:1" x14ac:dyDescent="0.35">
      <c r="A55" t="s">
        <v>424</v>
      </c>
    </row>
    <row r="56" spans="1:1" x14ac:dyDescent="0.35">
      <c r="A56" t="s">
        <v>425</v>
      </c>
    </row>
    <row r="57" spans="1:1" x14ac:dyDescent="0.35">
      <c r="A57" t="s">
        <v>426</v>
      </c>
    </row>
    <row r="58" spans="1:1" x14ac:dyDescent="0.35">
      <c r="A58" t="s">
        <v>427</v>
      </c>
    </row>
    <row r="59" spans="1:1" x14ac:dyDescent="0.35">
      <c r="A59" t="s">
        <v>428</v>
      </c>
    </row>
    <row r="60" spans="1:1" x14ac:dyDescent="0.35">
      <c r="A60" t="s">
        <v>429</v>
      </c>
    </row>
    <row r="61" spans="1:1" x14ac:dyDescent="0.35">
      <c r="A61" t="s">
        <v>430</v>
      </c>
    </row>
    <row r="62" spans="1:1" x14ac:dyDescent="0.35">
      <c r="A62" t="s">
        <v>431</v>
      </c>
    </row>
    <row r="63" spans="1:1" x14ac:dyDescent="0.35">
      <c r="A63" t="s">
        <v>432</v>
      </c>
    </row>
    <row r="64" spans="1:1" x14ac:dyDescent="0.35">
      <c r="A64" t="s">
        <v>433</v>
      </c>
    </row>
    <row r="65" spans="1:1" x14ac:dyDescent="0.35">
      <c r="A65" t="s">
        <v>434</v>
      </c>
    </row>
    <row r="66" spans="1:1" x14ac:dyDescent="0.35">
      <c r="A66" t="s">
        <v>435</v>
      </c>
    </row>
    <row r="67" spans="1:1" x14ac:dyDescent="0.35">
      <c r="A67" t="s">
        <v>436</v>
      </c>
    </row>
    <row r="68" spans="1:1" x14ac:dyDescent="0.35">
      <c r="A68" t="s">
        <v>437</v>
      </c>
    </row>
    <row r="69" spans="1:1" x14ac:dyDescent="0.35">
      <c r="A69" t="s">
        <v>438</v>
      </c>
    </row>
    <row r="70" spans="1:1" x14ac:dyDescent="0.35">
      <c r="A70" t="s">
        <v>439</v>
      </c>
    </row>
    <row r="71" spans="1:1" x14ac:dyDescent="0.35">
      <c r="A71" t="s">
        <v>440</v>
      </c>
    </row>
    <row r="72" spans="1:1" x14ac:dyDescent="0.35">
      <c r="A72" t="s">
        <v>441</v>
      </c>
    </row>
    <row r="73" spans="1:1" x14ac:dyDescent="0.35">
      <c r="A73" t="s">
        <v>442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7C69F103668B4D83C2380D24BE5B5E" ma:contentTypeVersion="20" ma:contentTypeDescription="Create a new document." ma:contentTypeScope="" ma:versionID="312981f058dc91e8412c08d6cd07be85">
  <xsd:schema xmlns:xsd="http://www.w3.org/2001/XMLSchema" xmlns:xs="http://www.w3.org/2001/XMLSchema" xmlns:p="http://schemas.microsoft.com/office/2006/metadata/properties" xmlns:ns2="a22e986a-173b-4eea-9853-b48585193f58" xmlns:ns3="37a6c409-b99c-4d11-853d-2a9c3e85649f" targetNamespace="http://schemas.microsoft.com/office/2006/metadata/properties" ma:root="true" ma:fieldsID="c54c8157cc556f8af547442b4a18a445" ns2:_="" ns3:_="">
    <xsd:import namespace="a22e986a-173b-4eea-9853-b48585193f58"/>
    <xsd:import namespace="37a6c409-b99c-4d11-853d-2a9c3e8564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e986a-173b-4eea-9853-b48585193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0281b9-951b-4067-879e-31dc9b46f8d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a6c409-b99c-4d11-853d-2a9c3e85649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230d5b1-26ec-4730-b84f-6b12b0796aeb}" ma:internalName="TaxCatchAll" ma:showField="CatchAllData" ma:web="37a6c409-b99c-4d11-853d-2a9c3e8564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C12B9-94CC-493A-A7F3-325F1C516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e986a-173b-4eea-9853-b48585193f58"/>
    <ds:schemaRef ds:uri="37a6c409-b99c-4d11-853d-2a9c3e8564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41CC16-8292-456E-9D7B-10529EA54E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Formula A</vt:lpstr>
      <vt:lpstr>Formula A Tables</vt:lpstr>
      <vt:lpstr>Formula B</vt:lpstr>
      <vt:lpstr>Formula B Tables</vt:lpstr>
      <vt:lpstr>Formula C</vt:lpstr>
      <vt:lpstr>Formula C Tables</vt:lpstr>
      <vt:lpstr>Max &amp; Min Pell Flag Calculator</vt:lpstr>
      <vt:lpstr>Max &amp; Min Poverty Tables</vt:lpstr>
      <vt:lpstr>Pell Calculator</vt:lpstr>
      <vt:lpstr>Dropdown Menus</vt:lpstr>
      <vt:lpstr>'Formula A'!Print_Area</vt:lpstr>
      <vt:lpstr>'Formula B'!Print_Area</vt:lpstr>
      <vt:lpstr>'Formula C'!Print_Area</vt:lpstr>
      <vt:lpstr>'Max &amp; Min Pell Flag Calculator'!Print_Area</vt:lpstr>
      <vt:lpstr>'Pell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Meadows</dc:creator>
  <cp:lastModifiedBy>Chloe Stanley</cp:lastModifiedBy>
  <cp:lastPrinted>2024-05-09T20:42:44Z</cp:lastPrinted>
  <dcterms:created xsi:type="dcterms:W3CDTF">2024-02-21T15:41:05Z</dcterms:created>
  <dcterms:modified xsi:type="dcterms:W3CDTF">2025-01-30T21:20:20Z</dcterms:modified>
</cp:coreProperties>
</file>